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eStorrar\Downloads\"/>
    </mc:Choice>
  </mc:AlternateContent>
  <xr:revisionPtr revIDLastSave="0" documentId="13_ncr:1_{C26B300F-C2C4-47B5-8203-3FB9B29ABB50}" xr6:coauthVersionLast="47" xr6:coauthVersionMax="47" xr10:uidLastSave="{00000000-0000-0000-0000-000000000000}"/>
  <bookViews>
    <workbookView xWindow="-120" yWindow="-120" windowWidth="29040" windowHeight="15720" tabRatio="691" firstSheet="1" activeTab="1" xr2:uid="{00000000-000D-0000-FFFF-FFFF00000000}"/>
  </bookViews>
  <sheets>
    <sheet name="Lists" sheetId="12" state="hidden" r:id="rId1"/>
    <sheet name="Leave Calculator" sheetId="11" r:id="rId2"/>
    <sheet name="Abatement V2" sheetId="16" state="hidden" r:id="rId3"/>
    <sheet name="Guidance" sheetId="14" r:id="rId4"/>
    <sheet name="Annual Leave Entitlement" sheetId="15" state="hidden" r:id="rId5"/>
    <sheet name="Decimal" sheetId="13" state="hidden" r:id="rId6"/>
    <sheet name="Abatement" sheetId="9" state="hidden" r:id="rId7"/>
  </sheets>
  <definedNames>
    <definedName name="ABLETYPE">Lists!$A$13:$A$16</definedName>
    <definedName name="ABLEYE">Lists!$B$13:$B$15</definedName>
    <definedName name="Decimal">Decimal!$B$2:$B$61</definedName>
    <definedName name="Full_Time">Lists!$A$2:$A$4</definedName>
    <definedName name="Hours">Lists!$B$2:$B$8</definedName>
    <definedName name="LeaveType">Lists!$A$2:$A$7</definedName>
    <definedName name="_xlnm.Print_Area" localSheetId="2">'Abatement V2'!$A$2:$D$24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6" l="1"/>
  <c r="C19" i="16"/>
  <c r="G17" i="11"/>
  <c r="G16" i="11"/>
  <c r="G14" i="11"/>
  <c r="H7" i="11"/>
  <c r="M4" i="11"/>
  <c r="E8" i="11"/>
  <c r="H8" i="11" s="1"/>
  <c r="E8" i="12"/>
  <c r="F7" i="11"/>
  <c r="E6" i="12"/>
  <c r="F4" i="9"/>
  <c r="M3" i="11"/>
  <c r="E3" i="9"/>
  <c r="M8" i="11"/>
  <c r="I5" i="12" s="1"/>
  <c r="F17" i="11"/>
  <c r="F16" i="11"/>
  <c r="F15" i="11"/>
  <c r="G15" i="11" s="1"/>
  <c r="F14" i="11"/>
  <c r="L7" i="11"/>
  <c r="M7" i="11"/>
  <c r="F13" i="11"/>
  <c r="G8" i="11"/>
  <c r="C23" i="16" l="1"/>
  <c r="O8" i="11"/>
  <c r="N8" i="11"/>
  <c r="G18" i="11"/>
  <c r="P8" i="11" l="1"/>
</calcChain>
</file>

<file path=xl/sharedStrings.xml><?xml version="1.0" encoding="utf-8"?>
<sst xmlns="http://schemas.openxmlformats.org/spreadsheetml/2006/main" count="123" uniqueCount="95">
  <si>
    <t>Leave Type</t>
  </si>
  <si>
    <t>Hours</t>
  </si>
  <si>
    <t>Days</t>
  </si>
  <si>
    <t>FTE</t>
  </si>
  <si>
    <t>Public Holidays</t>
  </si>
  <si>
    <t>Leave Year Start</t>
  </si>
  <si>
    <t>Leave Year End</t>
  </si>
  <si>
    <t>Abated full time hours (20 Days)</t>
  </si>
  <si>
    <t>Full-Time</t>
  </si>
  <si>
    <t>Current Year</t>
  </si>
  <si>
    <t>Full-Time (PH Inc)</t>
  </si>
  <si>
    <t>amended (for PT only)</t>
  </si>
  <si>
    <t>Next Year</t>
  </si>
  <si>
    <t>Part-Time (PH Inc)</t>
  </si>
  <si>
    <t>Decimal year</t>
  </si>
  <si>
    <t>Starter</t>
  </si>
  <si>
    <t>Public hours</t>
  </si>
  <si>
    <t xml:space="preserve">(don’t touch!) </t>
  </si>
  <si>
    <t>Leaver</t>
  </si>
  <si>
    <t>Change of hours</t>
  </si>
  <si>
    <t>Abatement:</t>
  </si>
  <si>
    <t>Leave Year</t>
  </si>
  <si>
    <t>Full time</t>
  </si>
  <si>
    <t>Part time</t>
  </si>
  <si>
    <t>Shift worker</t>
  </si>
  <si>
    <t>Compressed</t>
  </si>
  <si>
    <t>Normal FT Abated Minimum</t>
  </si>
  <si>
    <t>PH Dates</t>
  </si>
  <si>
    <t xml:space="preserve"> **Not to be used for Term Time Employees**</t>
  </si>
  <si>
    <t>Decimal Hours Calculator</t>
  </si>
  <si>
    <t>**WARNING** Ensure All date entries are typed in the following format DD/MM/20YY - e.g. 01/04/2026</t>
  </si>
  <si>
    <t>Minutes</t>
  </si>
  <si>
    <t>Decimal</t>
  </si>
  <si>
    <t>FULL YEAR</t>
  </si>
  <si>
    <t>THEN-&gt;</t>
  </si>
  <si>
    <t>Starter / Leaver</t>
  </si>
  <si>
    <t>Full-Time / Part Time</t>
  </si>
  <si>
    <t>Entitlement Days</t>
  </si>
  <si>
    <t>Select Type</t>
  </si>
  <si>
    <t>Annual Leave Entitlement</t>
  </si>
  <si>
    <t>Public Holiday Entitlement</t>
  </si>
  <si>
    <t>Total  Annual Leave Inc PH</t>
  </si>
  <si>
    <t>Select ----&gt;</t>
  </si>
  <si>
    <t>**Please Note: Complete Full Year calculation first**</t>
  </si>
  <si>
    <t xml:space="preserve">Change of Hours (PH included in all calculations) </t>
  </si>
  <si>
    <t>Starters leavers guidance</t>
  </si>
  <si>
    <t>Start Date</t>
  </si>
  <si>
    <t>End Date</t>
  </si>
  <si>
    <t>Decimal Weekly Working Hours</t>
  </si>
  <si>
    <t>Days in period</t>
  </si>
  <si>
    <t>Part Year Entitlement</t>
  </si>
  <si>
    <t>When an employee starts/leaves the Council during the course of the year, public holiday entitlement should be calculated to reflect actual days worked.  For part-time employees, public holidays are included in their entitlement in myview. For full-time employees this needs to be managed manually and if they do not have enough public holiday entitlement the remainder should be taken from their annual leave entitlement.</t>
  </si>
  <si>
    <t>Example</t>
  </si>
  <si>
    <t xml:space="preserve">  I I I  </t>
  </si>
  <si>
    <t>Select</t>
  </si>
  <si>
    <t>Abatements</t>
  </si>
  <si>
    <t>Total</t>
  </si>
  <si>
    <r>
      <t xml:space="preserve">For SJC and Craft employees, where an employee has a sickness absence which lasts over three months the annual leave will be limited to an amount pro-rated to the period of actual service given during the year.  Managers should contact </t>
    </r>
    <r>
      <rPr>
        <u/>
        <sz val="11"/>
        <color theme="1"/>
        <rFont val="Calibri"/>
        <family val="2"/>
        <scheme val="minor"/>
      </rPr>
      <t>hrhelpdesk@falkirk.gov.uk</t>
    </r>
    <r>
      <rPr>
        <sz val="11"/>
        <color theme="1"/>
        <rFont val="Calibri"/>
        <family val="2"/>
        <scheme val="minor"/>
      </rPr>
      <t xml:space="preserve"> who will carry out the abatement calculation and notify payroll to allow adjustments to be made.</t>
    </r>
  </si>
  <si>
    <t>Abatement Calculator</t>
  </si>
  <si>
    <t>Only Applicable where absence is over 3 months</t>
  </si>
  <si>
    <t>Employee Name</t>
  </si>
  <si>
    <t>*Required if Printing</t>
  </si>
  <si>
    <t>Employee Number</t>
  </si>
  <si>
    <t>Full time/part time/shift worker/compressed</t>
  </si>
  <si>
    <t>*Select from Drop down</t>
  </si>
  <si>
    <t xml:space="preserve">Weekly Working hours </t>
  </si>
  <si>
    <t xml:space="preserve">Absence Start </t>
  </si>
  <si>
    <t>*Format 01/01/1970</t>
  </si>
  <si>
    <t xml:space="preserve">Absence End </t>
  </si>
  <si>
    <t>Annual Leave Year e.g 2024</t>
  </si>
  <si>
    <t xml:space="preserve">Abated Entitlement (incl. Publics) </t>
  </si>
  <si>
    <t>Remove Publics taken/to take (Full time only)</t>
  </si>
  <si>
    <t>Updated balance for MyView</t>
  </si>
  <si>
    <t>Decimal Hours calculator</t>
  </si>
  <si>
    <t>Version 1.02</t>
  </si>
  <si>
    <t>Enter number of minutes, or select from drop down or vice versa</t>
  </si>
  <si>
    <t>Full Year</t>
  </si>
  <si>
    <t>Select from drop down list</t>
  </si>
  <si>
    <t>Select from Drop down in cell</t>
  </si>
  <si>
    <t>If Part-Time enter working hours in decimal ie 7.4 for 7 hours 24 minutes otherwise leave blank</t>
  </si>
  <si>
    <t>End date / Start Date</t>
  </si>
  <si>
    <t>Select Start or Leaver from drop down</t>
  </si>
  <si>
    <t>Enter Start or end date</t>
  </si>
  <si>
    <t>Enter Start date or start of year</t>
  </si>
  <si>
    <t>enter date of change</t>
  </si>
  <si>
    <t>Enter decimal weekly hours - see Decimal calculator if unsure</t>
  </si>
  <si>
    <t>Enter entitlement Days based on Length of service</t>
  </si>
  <si>
    <t>Number of years of continuous years service</t>
  </si>
  <si>
    <t>Annual leave entitlement Days</t>
  </si>
  <si>
    <t>Annual leave entitlement Hours</t>
  </si>
  <si>
    <t>Hours (37 hour FTE)</t>
  </si>
  <si>
    <t xml:space="preserve">Decimal </t>
  </si>
  <si>
    <t>Abatement</t>
  </si>
  <si>
    <t>Abated Entitlement Days</t>
  </si>
  <si>
    <t>Abated Leave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</si>
</sst>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333333"/>
      <name val="Roboto"/>
    </font>
    <font>
      <sz val="11"/>
      <color rgb="FF333333"/>
      <name val="Roboto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203764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center"/>
    </xf>
    <xf numFmtId="14" fontId="0" fillId="0" borderId="20" xfId="0" applyNumberFormat="1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14" fontId="0" fillId="0" borderId="16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hidden="1"/>
    </xf>
    <xf numFmtId="164" fontId="0" fillId="3" borderId="13" xfId="0" applyNumberFormat="1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5" borderId="0" xfId="0" applyFill="1"/>
    <xf numFmtId="14" fontId="0" fillId="0" borderId="0" xfId="0" applyNumberFormat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8" borderId="0" xfId="0" applyFill="1"/>
    <xf numFmtId="0" fontId="1" fillId="9" borderId="26" xfId="0" applyFont="1" applyFill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2" fontId="0" fillId="10" borderId="29" xfId="0" applyNumberForma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2" fontId="0" fillId="10" borderId="3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2" fontId="0" fillId="3" borderId="3" xfId="0" applyNumberFormat="1" applyFill="1" applyBorder="1" applyAlignment="1" applyProtection="1">
      <alignment horizontal="center" vertical="center"/>
      <protection hidden="1"/>
    </xf>
    <xf numFmtId="14" fontId="0" fillId="0" borderId="15" xfId="0" applyNumberFormat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/>
      <protection hidden="1"/>
    </xf>
    <xf numFmtId="2" fontId="0" fillId="3" borderId="12" xfId="0" applyNumberFormat="1" applyFill="1" applyBorder="1" applyAlignment="1" applyProtection="1">
      <alignment horizontal="center"/>
      <protection hidden="1"/>
    </xf>
    <xf numFmtId="2" fontId="0" fillId="3" borderId="25" xfId="0" applyNumberFormat="1" applyFill="1" applyBorder="1" applyAlignment="1" applyProtection="1">
      <alignment horizontal="center"/>
      <protection hidden="1"/>
    </xf>
    <xf numFmtId="0" fontId="0" fillId="13" borderId="0" xfId="0" applyFill="1"/>
    <xf numFmtId="0" fontId="1" fillId="13" borderId="7" xfId="0" applyFont="1" applyFill="1" applyBorder="1" applyAlignment="1">
      <alignment wrapText="1"/>
    </xf>
    <xf numFmtId="0" fontId="1" fillId="1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 wrapText="1"/>
    </xf>
    <xf numFmtId="0" fontId="1" fillId="13" borderId="8" xfId="0" applyFont="1" applyFill="1" applyBorder="1" applyAlignment="1">
      <alignment wrapText="1"/>
    </xf>
    <xf numFmtId="0" fontId="1" fillId="13" borderId="3" xfId="0" applyFont="1" applyFill="1" applyBorder="1"/>
    <xf numFmtId="0" fontId="0" fillId="13" borderId="3" xfId="0" applyFill="1" applyBorder="1" applyAlignment="1">
      <alignment horizontal="center" vertical="center"/>
    </xf>
    <xf numFmtId="2" fontId="0" fillId="13" borderId="3" xfId="0" applyNumberForma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top" wrapText="1"/>
    </xf>
    <xf numFmtId="0" fontId="8" fillId="14" borderId="30" xfId="0" applyFont="1" applyFill="1" applyBorder="1" applyAlignment="1">
      <alignment horizontal="center" vertical="top" wrapText="1"/>
    </xf>
    <xf numFmtId="0" fontId="8" fillId="14" borderId="18" xfId="0" applyFont="1" applyFill="1" applyBorder="1" applyAlignment="1">
      <alignment horizontal="center" vertical="top" wrapText="1"/>
    </xf>
    <xf numFmtId="0" fontId="8" fillId="14" borderId="31" xfId="0" applyFont="1" applyFill="1" applyBorder="1" applyAlignment="1">
      <alignment horizontal="center" vertical="top" wrapText="1"/>
    </xf>
    <xf numFmtId="0" fontId="7" fillId="15" borderId="34" xfId="0" applyFont="1" applyFill="1" applyBorder="1" applyAlignment="1">
      <alignment horizontal="center" vertical="top" wrapText="1"/>
    </xf>
    <xf numFmtId="0" fontId="7" fillId="15" borderId="30" xfId="0" applyFont="1" applyFill="1" applyBorder="1" applyAlignment="1">
      <alignment horizontal="center" vertical="top" wrapText="1"/>
    </xf>
    <xf numFmtId="0" fontId="7" fillId="15" borderId="16" xfId="0" applyFont="1" applyFill="1" applyBorder="1" applyAlignment="1">
      <alignment horizontal="center" vertical="top" wrapText="1"/>
    </xf>
    <xf numFmtId="0" fontId="7" fillId="15" borderId="17" xfId="0" applyFont="1" applyFill="1" applyBorder="1" applyAlignment="1">
      <alignment horizontal="center" vertical="top" wrapTex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1" fillId="16" borderId="12" xfId="0" applyFont="1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3" xfId="0" applyNumberFormat="1" applyFill="1" applyBorder="1" applyAlignment="1" applyProtection="1">
      <alignment horizontal="center" vertical="center"/>
      <protection hidden="1"/>
    </xf>
    <xf numFmtId="0" fontId="0" fillId="5" borderId="0" xfId="0" applyFill="1" applyProtection="1">
      <protection locked="0"/>
    </xf>
    <xf numFmtId="0" fontId="1" fillId="5" borderId="0" xfId="0" applyFont="1" applyFill="1" applyProtection="1">
      <protection locked="0"/>
    </xf>
    <xf numFmtId="0" fontId="1" fillId="7" borderId="24" xfId="0" applyFont="1" applyFill="1" applyBorder="1" applyAlignment="1" applyProtection="1">
      <alignment horizontal="left" wrapText="1"/>
      <protection locked="0"/>
    </xf>
    <xf numFmtId="0" fontId="1" fillId="7" borderId="15" xfId="0" applyFont="1" applyFill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 hidden="1"/>
    </xf>
    <xf numFmtId="0" fontId="0" fillId="4" borderId="13" xfId="0" applyFill="1" applyBorder="1" applyProtection="1"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0" fillId="3" borderId="13" xfId="0" applyFill="1" applyBorder="1" applyProtection="1">
      <protection locked="0"/>
    </xf>
    <xf numFmtId="0" fontId="0" fillId="5" borderId="0" xfId="0" applyFill="1" applyAlignment="1" applyProtection="1">
      <alignment horizontal="center" vertical="center"/>
      <protection locked="0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11" xfId="0" applyNumberFormat="1" applyFont="1" applyFill="1" applyBorder="1" applyAlignment="1">
      <alignment horizontal="center" vertical="center" wrapText="1"/>
    </xf>
    <xf numFmtId="0" fontId="0" fillId="12" borderId="0" xfId="0" applyFill="1" applyProtection="1">
      <protection locked="0"/>
    </xf>
    <xf numFmtId="0" fontId="1" fillId="11" borderId="3" xfId="0" applyFont="1" applyFill="1" applyBorder="1" applyAlignment="1" applyProtection="1">
      <alignment horizontal="center" vertical="center"/>
      <protection locked="0"/>
    </xf>
    <xf numFmtId="0" fontId="0" fillId="12" borderId="0" xfId="0" applyFill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1" fillId="3" borderId="33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11" fillId="17" borderId="3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left"/>
    </xf>
    <xf numFmtId="0" fontId="1" fillId="3" borderId="7" xfId="0" applyFont="1" applyFill="1" applyBorder="1" applyAlignment="1">
      <alignment wrapText="1"/>
    </xf>
    <xf numFmtId="0" fontId="1" fillId="3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4" borderId="12" xfId="0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0" fillId="6" borderId="4" xfId="0" applyFont="1" applyFill="1" applyBorder="1"/>
    <xf numFmtId="0" fontId="2" fillId="3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4" borderId="23" xfId="0" applyFill="1" applyBorder="1"/>
    <xf numFmtId="0" fontId="0" fillId="3" borderId="9" xfId="0" applyFill="1" applyBorder="1"/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5" borderId="0" xfId="0" applyFont="1" applyFill="1"/>
    <xf numFmtId="0" fontId="12" fillId="0" borderId="3" xfId="0" applyFont="1" applyBorder="1" applyAlignment="1">
      <alignment vertical="center"/>
    </xf>
    <xf numFmtId="0" fontId="0" fillId="9" borderId="0" xfId="0" applyFill="1"/>
    <xf numFmtId="0" fontId="12" fillId="9" borderId="0" xfId="0" applyFont="1" applyFill="1" applyAlignment="1">
      <alignment vertical="center"/>
    </xf>
    <xf numFmtId="0" fontId="0" fillId="16" borderId="0" xfId="0" applyFill="1"/>
    <xf numFmtId="0" fontId="13" fillId="0" borderId="15" xfId="0" applyFont="1" applyBorder="1" applyAlignment="1" applyProtection="1">
      <alignment horizontal="center" vertical="center"/>
      <protection locked="0"/>
    </xf>
    <xf numFmtId="0" fontId="13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2" fontId="13" fillId="0" borderId="15" xfId="0" applyNumberFormat="1" applyFont="1" applyBorder="1" applyAlignment="1" applyProtection="1">
      <alignment horizontal="center" vertical="center"/>
      <protection locked="0"/>
    </xf>
    <xf numFmtId="14" fontId="13" fillId="0" borderId="15" xfId="0" applyNumberFormat="1" applyFont="1" applyBorder="1" applyAlignment="1" applyProtection="1">
      <alignment horizontal="center" vertical="center"/>
      <protection locked="0"/>
    </xf>
    <xf numFmtId="0" fontId="14" fillId="9" borderId="0" xfId="0" applyFont="1" applyFill="1"/>
    <xf numFmtId="0" fontId="0" fillId="0" borderId="0" xfId="0" applyAlignment="1">
      <alignment horizontal="center"/>
    </xf>
    <xf numFmtId="0" fontId="15" fillId="9" borderId="0" xfId="0" applyFont="1" applyFill="1"/>
    <xf numFmtId="49" fontId="13" fillId="0" borderId="15" xfId="0" applyNumberFormat="1" applyFont="1" applyBorder="1" applyAlignment="1" applyProtection="1">
      <alignment horizontal="center" vertical="center"/>
      <protection locked="0"/>
    </xf>
    <xf numFmtId="165" fontId="13" fillId="0" borderId="15" xfId="0" applyNumberFormat="1" applyFont="1" applyBorder="1" applyAlignment="1" applyProtection="1">
      <alignment horizontal="center" vertical="center"/>
      <protection locked="0"/>
    </xf>
    <xf numFmtId="0" fontId="14" fillId="9" borderId="0" xfId="0" applyFont="1" applyFill="1" applyAlignment="1">
      <alignment wrapText="1"/>
    </xf>
    <xf numFmtId="14" fontId="0" fillId="0" borderId="0" xfId="0" applyNumberFormat="1"/>
    <xf numFmtId="0" fontId="13" fillId="0" borderId="15" xfId="0" applyFont="1" applyBorder="1" applyAlignment="1" applyProtection="1">
      <alignment horizontal="center" vertical="center"/>
      <protection hidden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6" borderId="5" xfId="0" applyFill="1" applyBorder="1"/>
    <xf numFmtId="0" fontId="0" fillId="0" borderId="5" xfId="0" applyBorder="1"/>
    <xf numFmtId="0" fontId="0" fillId="0" borderId="6" xfId="0" applyBorder="1"/>
    <xf numFmtId="0" fontId="2" fillId="3" borderId="2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7" borderId="5" xfId="0" applyFill="1" applyBorder="1" applyAlignment="1">
      <alignment wrapText="1"/>
    </xf>
    <xf numFmtId="0" fontId="0" fillId="7" borderId="6" xfId="0" applyFill="1" applyBorder="1" applyAlignment="1">
      <alignment wrapText="1"/>
    </xf>
    <xf numFmtId="0" fontId="0" fillId="7" borderId="7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8" xfId="0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5" fillId="9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11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7" fillId="15" borderId="20" xfId="0" applyFont="1" applyFill="1" applyBorder="1" applyAlignment="1">
      <alignment horizontal="left" vertical="top" wrapText="1"/>
    </xf>
    <xf numFmtId="0" fontId="7" fillId="15" borderId="16" xfId="0" applyFont="1" applyFill="1" applyBorder="1" applyAlignment="1">
      <alignment horizontal="left" vertical="top" wrapText="1"/>
    </xf>
    <xf numFmtId="0" fontId="7" fillId="15" borderId="21" xfId="0" applyFont="1" applyFill="1" applyBorder="1" applyAlignment="1">
      <alignment horizontal="center" vertical="top" wrapText="1"/>
    </xf>
    <xf numFmtId="0" fontId="7" fillId="15" borderId="1" xfId="0" applyFont="1" applyFill="1" applyBorder="1" applyAlignment="1">
      <alignment horizontal="center" vertical="top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2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89EE-9A55-48AD-A6E3-E96C556E6D18}">
  <sheetPr codeName="Sheet12"/>
  <dimension ref="A1:L28"/>
  <sheetViews>
    <sheetView workbookViewId="0">
      <selection activeCell="F22" sqref="F22"/>
    </sheetView>
  </sheetViews>
  <sheetFormatPr defaultRowHeight="15" x14ac:dyDescent="0.25"/>
  <cols>
    <col min="1" max="1" width="18.28515625" customWidth="1"/>
    <col min="2" max="2" width="11.5703125" customWidth="1"/>
    <col min="3" max="3" width="10.7109375" bestFit="1" customWidth="1"/>
    <col min="5" max="5" width="21.85546875" style="54" customWidth="1"/>
    <col min="6" max="6" width="26" customWidth="1"/>
    <col min="7" max="7" width="17.42578125" customWidth="1"/>
    <col min="8" max="8" width="22.42578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53" t="s">
        <v>4</v>
      </c>
      <c r="F1" s="1" t="s">
        <v>5</v>
      </c>
      <c r="G1" s="1" t="s">
        <v>6</v>
      </c>
      <c r="I1" s="1" t="s">
        <v>7</v>
      </c>
    </row>
    <row r="2" spans="1:12" x14ac:dyDescent="0.25">
      <c r="A2" t="s">
        <v>8</v>
      </c>
      <c r="B2">
        <v>199.8</v>
      </c>
      <c r="C2">
        <v>27</v>
      </c>
      <c r="D2">
        <v>37</v>
      </c>
      <c r="E2" s="54">
        <v>8</v>
      </c>
      <c r="F2" s="2">
        <v>45658</v>
      </c>
      <c r="G2" s="2">
        <v>46022</v>
      </c>
      <c r="H2" t="s">
        <v>9</v>
      </c>
      <c r="I2">
        <v>207.2</v>
      </c>
    </row>
    <row r="3" spans="1:12" x14ac:dyDescent="0.25">
      <c r="A3" t="s">
        <v>10</v>
      </c>
      <c r="B3">
        <v>207.2</v>
      </c>
      <c r="C3">
        <v>28</v>
      </c>
      <c r="E3" s="54" t="s">
        <v>11</v>
      </c>
      <c r="F3" s="16">
        <v>46023</v>
      </c>
      <c r="G3" s="16">
        <v>46387</v>
      </c>
      <c r="H3" t="s">
        <v>12</v>
      </c>
    </row>
    <row r="4" spans="1:12" x14ac:dyDescent="0.25">
      <c r="A4" t="s">
        <v>13</v>
      </c>
      <c r="B4">
        <v>214.6</v>
      </c>
      <c r="C4">
        <v>29</v>
      </c>
      <c r="E4" s="54">
        <v>8</v>
      </c>
      <c r="I4" t="s">
        <v>14</v>
      </c>
    </row>
    <row r="5" spans="1:12" x14ac:dyDescent="0.25">
      <c r="A5" t="s">
        <v>15</v>
      </c>
      <c r="B5">
        <v>222</v>
      </c>
      <c r="C5">
        <v>30</v>
      </c>
      <c r="E5" s="54" t="s">
        <v>16</v>
      </c>
      <c r="I5" t="e">
        <f>IF('Leave Calculator'!L8&gt;=Lists!F3,'Leave Calculator'!M8/(G3-F3+1),'Leave Calculator'!M8/(G2-F2+1))</f>
        <v>#VALUE!</v>
      </c>
      <c r="J5" t="s">
        <v>17</v>
      </c>
    </row>
    <row r="6" spans="1:12" x14ac:dyDescent="0.25">
      <c r="A6" t="s">
        <v>18</v>
      </c>
      <c r="B6">
        <v>229.4</v>
      </c>
      <c r="C6">
        <v>31</v>
      </c>
      <c r="E6" s="54">
        <f>E2*7.4</f>
        <v>59.2</v>
      </c>
    </row>
    <row r="7" spans="1:12" x14ac:dyDescent="0.25">
      <c r="A7" t="s">
        <v>19</v>
      </c>
      <c r="B7">
        <v>236.8</v>
      </c>
      <c r="C7">
        <v>32</v>
      </c>
      <c r="E7" s="54" t="s">
        <v>11</v>
      </c>
    </row>
    <row r="8" spans="1:12" x14ac:dyDescent="0.25">
      <c r="B8">
        <v>251.6</v>
      </c>
      <c r="C8">
        <v>34</v>
      </c>
      <c r="E8" s="54">
        <f>E4*7.4</f>
        <v>59.2</v>
      </c>
    </row>
    <row r="10" spans="1:12" x14ac:dyDescent="0.25">
      <c r="A10" s="127"/>
      <c r="B10" s="127"/>
      <c r="C10" s="127"/>
      <c r="D10" s="127"/>
      <c r="F10" s="127"/>
      <c r="G10" s="127"/>
      <c r="H10" s="127"/>
      <c r="I10" s="127"/>
      <c r="J10" s="127"/>
      <c r="K10" s="127"/>
      <c r="L10" s="127"/>
    </row>
    <row r="11" spans="1:12" x14ac:dyDescent="0.25">
      <c r="A11" s="1" t="s">
        <v>20</v>
      </c>
      <c r="E11" s="55"/>
    </row>
    <row r="12" spans="1:12" x14ac:dyDescent="0.25">
      <c r="A12" s="1" t="s">
        <v>0</v>
      </c>
      <c r="B12" t="s">
        <v>21</v>
      </c>
      <c r="E12" s="55"/>
    </row>
    <row r="13" spans="1:12" x14ac:dyDescent="0.25">
      <c r="A13" t="s">
        <v>22</v>
      </c>
      <c r="B13" s="134">
        <v>2025</v>
      </c>
    </row>
    <row r="14" spans="1:12" x14ac:dyDescent="0.25">
      <c r="A14" t="s">
        <v>23</v>
      </c>
      <c r="B14" s="134">
        <v>2026</v>
      </c>
    </row>
    <row r="15" spans="1:12" x14ac:dyDescent="0.25">
      <c r="A15" t="s">
        <v>24</v>
      </c>
      <c r="B15" s="134">
        <v>2027</v>
      </c>
    </row>
    <row r="16" spans="1:12" x14ac:dyDescent="0.25">
      <c r="A16" t="s">
        <v>25</v>
      </c>
    </row>
    <row r="18" spans="1:3" x14ac:dyDescent="0.25">
      <c r="A18" s="1" t="s">
        <v>26</v>
      </c>
      <c r="C18">
        <v>207.2</v>
      </c>
    </row>
    <row r="20" spans="1:3" x14ac:dyDescent="0.25">
      <c r="A20" s="1" t="s">
        <v>27</v>
      </c>
      <c r="B20" s="1">
        <v>2025</v>
      </c>
      <c r="C20" s="1">
        <v>2026</v>
      </c>
    </row>
    <row r="21" spans="1:3" x14ac:dyDescent="0.25">
      <c r="B21" s="139">
        <v>45658</v>
      </c>
      <c r="C21" s="139">
        <v>46023</v>
      </c>
    </row>
    <row r="22" spans="1:3" x14ac:dyDescent="0.25">
      <c r="B22" s="139">
        <v>45659</v>
      </c>
      <c r="C22" s="139">
        <v>46024</v>
      </c>
    </row>
    <row r="23" spans="1:3" x14ac:dyDescent="0.25">
      <c r="B23" s="139">
        <v>45765</v>
      </c>
      <c r="C23" s="139">
        <v>46115</v>
      </c>
    </row>
    <row r="24" spans="1:3" x14ac:dyDescent="0.25">
      <c r="B24" s="139">
        <v>45771</v>
      </c>
      <c r="C24" s="139">
        <v>46118</v>
      </c>
    </row>
    <row r="25" spans="1:3" x14ac:dyDescent="0.25">
      <c r="B25" s="139">
        <v>45782</v>
      </c>
      <c r="C25" s="139">
        <v>46146</v>
      </c>
    </row>
    <row r="26" spans="1:3" x14ac:dyDescent="0.25">
      <c r="B26" s="139">
        <v>45908</v>
      </c>
      <c r="C26" s="139">
        <v>46272</v>
      </c>
    </row>
    <row r="27" spans="1:3" x14ac:dyDescent="0.25">
      <c r="B27" s="139">
        <v>46016</v>
      </c>
      <c r="C27" s="139">
        <v>46381</v>
      </c>
    </row>
    <row r="28" spans="1:3" x14ac:dyDescent="0.25">
      <c r="B28" s="139">
        <v>46017</v>
      </c>
      <c r="C28" s="139">
        <v>46382</v>
      </c>
    </row>
  </sheetData>
  <sheetProtection algorithmName="SHA-512" hashValue="fwmH5GBOw1HQ5bUAzHso5fBAYW2S6g78FcbVmC4sfIih7cDPzFl6+jB9CUS1G2rNLRr5awOGEfafl93tfZ5LaA==" saltValue="/hsUBxxhUVfr9I+oaBThNQ==" spinCount="100000" sheet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4BF3A-6917-4DB1-AB71-2989E9A10DED}">
  <sheetPr codeName="Sheet1">
    <tabColor theme="6" tint="0.39997558519241921"/>
  </sheetPr>
  <dimension ref="A1:Q30"/>
  <sheetViews>
    <sheetView tabSelected="1" zoomScale="85" zoomScaleNormal="85" workbookViewId="0">
      <selection activeCell="C8" sqref="C8"/>
    </sheetView>
  </sheetViews>
  <sheetFormatPr defaultColWidth="9.140625" defaultRowHeight="15" x14ac:dyDescent="0.25"/>
  <cols>
    <col min="1" max="1" width="8" style="62" customWidth="1"/>
    <col min="2" max="2" width="19.5703125" style="62" customWidth="1"/>
    <col min="3" max="3" width="16.5703125" style="62" customWidth="1"/>
    <col min="4" max="4" width="21" style="62" customWidth="1"/>
    <col min="5" max="5" width="13" style="62" customWidth="1"/>
    <col min="6" max="6" width="15.140625" style="62" customWidth="1"/>
    <col min="7" max="7" width="11.42578125" style="62" customWidth="1"/>
    <col min="8" max="8" width="15.85546875" style="62" customWidth="1"/>
    <col min="9" max="9" width="6.85546875" style="62" customWidth="1"/>
    <col min="10" max="10" width="11.5703125" style="62" customWidth="1"/>
    <col min="11" max="11" width="13" style="62" customWidth="1"/>
    <col min="12" max="12" width="12.42578125" style="62" customWidth="1"/>
    <col min="13" max="13" width="14.5703125" style="62" customWidth="1"/>
    <col min="14" max="14" width="14.28515625" style="62" customWidth="1"/>
    <col min="15" max="15" width="13.42578125" style="62" customWidth="1"/>
    <col min="16" max="16" width="15.140625" style="62" customWidth="1"/>
    <col min="17" max="17" width="26.140625" style="58" customWidth="1"/>
    <col min="18" max="16384" width="9.140625" style="62"/>
  </cols>
  <sheetData>
    <row r="1" spans="1:16" ht="1.5" customHeight="1" thickBot="1" x14ac:dyDescent="0.3">
      <c r="A1" s="15"/>
      <c r="B1" s="15"/>
      <c r="C1" s="15"/>
      <c r="D1" s="15"/>
      <c r="E1" s="15"/>
      <c r="F1" s="15"/>
      <c r="G1" s="15"/>
      <c r="H1" s="15"/>
      <c r="I1" s="15"/>
      <c r="J1" s="58"/>
      <c r="K1" s="58"/>
      <c r="L1" s="58"/>
      <c r="M1" s="58"/>
      <c r="N1" s="58"/>
      <c r="O1" s="58"/>
      <c r="P1" s="58"/>
    </row>
    <row r="2" spans="1:16" ht="24.75" customHeight="1" thickBot="1" x14ac:dyDescent="0.3">
      <c r="A2" s="123"/>
      <c r="B2" s="98"/>
      <c r="C2" s="156" t="s">
        <v>28</v>
      </c>
      <c r="D2" s="157"/>
      <c r="E2" s="157"/>
      <c r="F2" s="158"/>
      <c r="G2" s="99"/>
      <c r="H2" s="99"/>
      <c r="I2" s="123"/>
      <c r="J2" s="155" t="s">
        <v>29</v>
      </c>
      <c r="K2" s="153"/>
      <c r="L2" s="153"/>
      <c r="M2" s="154"/>
      <c r="N2" s="63"/>
      <c r="O2" s="59"/>
      <c r="P2" s="59"/>
    </row>
    <row r="3" spans="1:16" ht="33" customHeight="1" thickBot="1" x14ac:dyDescent="0.3">
      <c r="A3" s="123"/>
      <c r="B3" s="88" t="s">
        <v>30</v>
      </c>
      <c r="C3" s="100"/>
      <c r="D3" s="100"/>
      <c r="E3" s="100"/>
      <c r="F3" s="100"/>
      <c r="G3" s="100"/>
      <c r="H3" s="101"/>
      <c r="I3" s="123"/>
      <c r="J3" s="89" t="s">
        <v>31</v>
      </c>
      <c r="K3" s="30"/>
      <c r="L3" s="89" t="s">
        <v>32</v>
      </c>
      <c r="M3" s="70" t="str">
        <f>IF(K3="","",VLOOKUP(K3,Decimal!A:B,2,0))</f>
        <v/>
      </c>
      <c r="N3" s="64"/>
      <c r="O3" s="58"/>
      <c r="P3" s="58"/>
    </row>
    <row r="4" spans="1:16" ht="24.95" customHeight="1" thickBot="1" x14ac:dyDescent="0.3">
      <c r="A4" s="59"/>
      <c r="B4" s="102"/>
      <c r="C4" s="103"/>
      <c r="D4" s="103"/>
      <c r="E4" s="103"/>
      <c r="F4" s="103"/>
      <c r="G4" s="103"/>
      <c r="H4" s="103"/>
      <c r="I4" s="59"/>
      <c r="J4" s="89" t="s">
        <v>32</v>
      </c>
      <c r="K4" s="56"/>
      <c r="L4" s="89" t="s">
        <v>31</v>
      </c>
      <c r="M4" s="71" t="str">
        <f>IF(K4="","",INDEX(Decimal!A:A,MATCH('Leave Calculator'!K4,Decimal!B:B,0)))</f>
        <v/>
      </c>
      <c r="N4" s="64"/>
      <c r="O4" s="58"/>
      <c r="P4" s="58"/>
    </row>
    <row r="5" spans="1:16" ht="17.25" customHeight="1" thickBot="1" x14ac:dyDescent="0.3">
      <c r="A5" s="58"/>
      <c r="B5" s="104"/>
      <c r="C5" s="159"/>
      <c r="D5" s="160"/>
      <c r="E5" s="160"/>
      <c r="F5" s="160"/>
      <c r="G5" s="160"/>
      <c r="H5" s="161"/>
      <c r="I5" s="58"/>
      <c r="J5" s="58"/>
      <c r="K5" s="58"/>
      <c r="L5" s="58"/>
      <c r="M5" s="58"/>
      <c r="N5" s="65"/>
      <c r="O5" s="58"/>
      <c r="P5" s="58"/>
    </row>
    <row r="6" spans="1:16" ht="24" customHeight="1" thickBot="1" x14ac:dyDescent="0.4">
      <c r="A6" s="58"/>
      <c r="B6" s="105"/>
      <c r="C6" s="90"/>
      <c r="D6" s="90" t="s">
        <v>33</v>
      </c>
      <c r="E6" s="90"/>
      <c r="F6" s="90"/>
      <c r="G6" s="90"/>
      <c r="H6" s="106"/>
      <c r="I6" s="95" t="s">
        <v>34</v>
      </c>
      <c r="J6" s="150" t="s">
        <v>35</v>
      </c>
      <c r="K6" s="151"/>
      <c r="L6" s="151"/>
      <c r="M6" s="151"/>
      <c r="N6" s="151"/>
      <c r="O6" s="151"/>
      <c r="P6" s="152"/>
    </row>
    <row r="7" spans="1:16" ht="53.25" customHeight="1" thickBot="1" x14ac:dyDescent="0.3">
      <c r="A7" s="15"/>
      <c r="B7" s="92" t="s">
        <v>36</v>
      </c>
      <c r="C7" s="93" t="s">
        <v>0</v>
      </c>
      <c r="D7" s="93" t="s">
        <v>37</v>
      </c>
      <c r="E7" s="94" t="s">
        <v>1</v>
      </c>
      <c r="F7" s="107" t="str">
        <f>IF(C8="Full-Time","N/A",IF(C8="Full-Time (PH Inc)","N/A","Decimal Weekly Working Hours"))</f>
        <v>Decimal Weekly Working Hours</v>
      </c>
      <c r="G7" s="94" t="s">
        <v>3</v>
      </c>
      <c r="H7" s="108" t="str">
        <f>IF(C8="Full-Time","Total Annual Leave (exc PH of 59.2hrs)","Total Annual inc PH")</f>
        <v>Total Annual inc PH</v>
      </c>
      <c r="I7" s="109"/>
      <c r="J7" s="110"/>
      <c r="K7" s="111" t="s">
        <v>38</v>
      </c>
      <c r="L7" s="111" t="str">
        <f>IF(K8="Starter","Start Date","End Date")</f>
        <v>End Date</v>
      </c>
      <c r="M7" s="112" t="str">
        <f>IF(K8="Starter","Days to Year end", IF(K8="Leaver","Days worked to Leaving date", "Days In period"))</f>
        <v>Days In period</v>
      </c>
      <c r="N7" s="113" t="s">
        <v>39</v>
      </c>
      <c r="O7" s="114" t="s">
        <v>40</v>
      </c>
      <c r="P7" s="115" t="s">
        <v>41</v>
      </c>
    </row>
    <row r="8" spans="1:16" ht="15.75" thickBot="1" x14ac:dyDescent="0.3">
      <c r="A8" s="58"/>
      <c r="B8" s="96" t="s">
        <v>42</v>
      </c>
      <c r="C8" s="52"/>
      <c r="D8" s="9"/>
      <c r="E8" s="12" t="str">
        <f>IF(C8="","",INDEX(Hours,MATCH('Leave Calculator'!D8,Lists!C2:C8,0)))</f>
        <v/>
      </c>
      <c r="F8" s="11"/>
      <c r="G8" s="13">
        <f>F8/37</f>
        <v>0</v>
      </c>
      <c r="H8" s="31" t="str">
        <f>IF(C8="","",IF(C8="Full-Time",E8,IF(C8="Full-Time (PH Inc)",(E8+Lists!E6),(E8+Lists!E8)/37*F8)))</f>
        <v/>
      </c>
      <c r="I8" s="66"/>
      <c r="J8" s="97" t="s">
        <v>42</v>
      </c>
      <c r="K8" s="9"/>
      <c r="L8" s="32"/>
      <c r="M8" s="14" t="str">
        <f>IF(K8="","",IF(AND(L8&gt;=Lists!F2,L8&lt;=Lists!G2),IF(K8="Starter",Lists!G2-'Leave Calculator'!L8,L8-Lists!F2)+1,IF(K8="Starter",Lists!G3-'Leave Calculator'!L8,L8-Lists!F3)+1))</f>
        <v/>
      </c>
      <c r="N8" s="31" t="str">
        <f>IF(K8="","",IF(C8&lt;&gt;"",IF(C8="Part-Time (PH Inc)",(E8)/37*F8,IF(C8="Full-Time",H8,E8))*Lists!I5))</f>
        <v/>
      </c>
      <c r="O8" s="57" t="str">
        <f>IF(K8="","",IF(C8="Part-Time (PH Inc)",Lists!E8*G8*Lists!I5,Lists!E6*Lists!I5))</f>
        <v/>
      </c>
      <c r="P8" s="57" t="str">
        <f>IF(K8="","",N8+O8)</f>
        <v/>
      </c>
    </row>
    <row r="9" spans="1:16" ht="15.75" customHeight="1" thickBot="1" x14ac:dyDescent="0.3">
      <c r="A9" s="58"/>
      <c r="B9" s="58"/>
      <c r="C9" s="58"/>
      <c r="D9" s="58"/>
      <c r="E9" s="58"/>
      <c r="F9" s="58"/>
      <c r="G9" s="58"/>
      <c r="H9" s="58"/>
      <c r="I9" s="58"/>
      <c r="J9" s="91" t="s">
        <v>43</v>
      </c>
      <c r="K9" s="60"/>
      <c r="L9" s="60"/>
      <c r="M9" s="60"/>
      <c r="N9" s="60"/>
      <c r="O9" s="60"/>
      <c r="P9" s="61"/>
    </row>
    <row r="10" spans="1:16" ht="12" customHeight="1" thickBot="1" x14ac:dyDescent="0.3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16" ht="24" thickBot="1" x14ac:dyDescent="0.3">
      <c r="A11" s="58"/>
      <c r="B11" s="150" t="s">
        <v>44</v>
      </c>
      <c r="C11" s="153"/>
      <c r="D11" s="153"/>
      <c r="E11" s="153"/>
      <c r="F11" s="153"/>
      <c r="G11" s="154"/>
      <c r="H11" s="67"/>
      <c r="I11" s="67"/>
      <c r="J11" s="163" t="s">
        <v>45</v>
      </c>
      <c r="K11" s="164"/>
      <c r="L11" s="165"/>
      <c r="M11" s="165"/>
      <c r="N11" s="165"/>
      <c r="O11" s="151"/>
      <c r="P11" s="152"/>
    </row>
    <row r="12" spans="1:16" ht="47.25" customHeight="1" thickBot="1" x14ac:dyDescent="0.3">
      <c r="A12" s="58"/>
      <c r="B12" s="116" t="s">
        <v>46</v>
      </c>
      <c r="C12" s="107" t="s">
        <v>47</v>
      </c>
      <c r="D12" s="107" t="s">
        <v>48</v>
      </c>
      <c r="E12" s="107" t="s">
        <v>37</v>
      </c>
      <c r="F12" s="107" t="s">
        <v>49</v>
      </c>
      <c r="G12" s="108" t="s">
        <v>50</v>
      </c>
      <c r="H12" s="58"/>
      <c r="I12" s="58"/>
      <c r="J12" s="141" t="s">
        <v>51</v>
      </c>
      <c r="K12" s="166"/>
      <c r="L12" s="166"/>
      <c r="M12" s="166"/>
      <c r="N12" s="166"/>
      <c r="O12" s="166"/>
      <c r="P12" s="167"/>
    </row>
    <row r="13" spans="1:16" ht="18.75" customHeight="1" thickBot="1" x14ac:dyDescent="0.3">
      <c r="A13" s="120" t="s">
        <v>52</v>
      </c>
      <c r="B13" s="117">
        <v>46023</v>
      </c>
      <c r="C13" s="118">
        <v>46076</v>
      </c>
      <c r="D13" s="119">
        <v>15</v>
      </c>
      <c r="E13" s="119">
        <v>29</v>
      </c>
      <c r="F13" s="21">
        <f>(C13-B13)+1</f>
        <v>54</v>
      </c>
      <c r="G13" s="34">
        <v>16.421917808219181</v>
      </c>
      <c r="H13" s="58"/>
      <c r="I13" s="58"/>
      <c r="J13" s="168"/>
      <c r="K13" s="169"/>
      <c r="L13" s="169"/>
      <c r="M13" s="169"/>
      <c r="N13" s="169"/>
      <c r="O13" s="169"/>
      <c r="P13" s="170"/>
    </row>
    <row r="14" spans="1:16" ht="15.75" thickBot="1" x14ac:dyDescent="0.3">
      <c r="A14" s="58"/>
      <c r="B14" s="3"/>
      <c r="C14" s="4"/>
      <c r="D14" s="17"/>
      <c r="E14" s="10"/>
      <c r="F14" s="20" t="str">
        <f>IF(B14="","",(C14-B14)+1)</f>
        <v/>
      </c>
      <c r="G14" s="35" t="str">
        <f>IF(B14="","",(INDEX(Hours,MATCH('Leave Calculator'!E$14,Lists!C$2:C$8,0))+Lists!E6)*(F14/((Lists!$G$2-Lists!$F$2)+1))*(D14/37))</f>
        <v/>
      </c>
      <c r="H14" s="58"/>
      <c r="I14" s="58"/>
      <c r="J14" s="168"/>
      <c r="K14" s="169"/>
      <c r="L14" s="169"/>
      <c r="M14" s="169"/>
      <c r="N14" s="169"/>
      <c r="O14" s="169"/>
      <c r="P14" s="170"/>
    </row>
    <row r="15" spans="1:16" ht="15.75" thickBot="1" x14ac:dyDescent="0.3">
      <c r="A15" s="58"/>
      <c r="B15" s="5"/>
      <c r="C15" s="6"/>
      <c r="D15" s="18"/>
      <c r="E15" s="121" t="s">
        <v>53</v>
      </c>
      <c r="F15" s="20" t="str">
        <f>IF(B15="","",(C15-B15)+1)</f>
        <v/>
      </c>
      <c r="G15" s="35" t="str">
        <f>IF(B15="","",(INDEX(Hours,MATCH('Leave Calculator'!E$14,Lists!C$2:C$8,0))+Lists!E6)*(F15/((Lists!$G$2-Lists!$F$2)+1))*(D15/37))</f>
        <v/>
      </c>
      <c r="H15" s="58"/>
      <c r="I15" s="58"/>
      <c r="J15" s="171"/>
      <c r="K15" s="172"/>
      <c r="L15" s="172"/>
      <c r="M15" s="172"/>
      <c r="N15" s="172"/>
      <c r="O15" s="172"/>
      <c r="P15" s="173"/>
    </row>
    <row r="16" spans="1:16" ht="15.75" thickBot="1" x14ac:dyDescent="0.3">
      <c r="A16" s="58"/>
      <c r="B16" s="5"/>
      <c r="C16" s="6"/>
      <c r="D16" s="18"/>
      <c r="E16" s="121" t="s">
        <v>54</v>
      </c>
      <c r="F16" s="20" t="str">
        <f>IF(B16="","",(C16-B16)+1)</f>
        <v/>
      </c>
      <c r="G16" s="35" t="str">
        <f>IF(B16="","",(INDEX(Hours,MATCH('Leave Calculator'!E$14,Lists!C$2:C$8,0))+Lists!E6)*(F16/((Lists!$G$2-Lists!$F$2)+1))*(D16/37))</f>
        <v/>
      </c>
      <c r="H16" s="58"/>
      <c r="I16" s="58"/>
      <c r="J16" s="58"/>
      <c r="K16" s="58"/>
      <c r="L16" s="58"/>
      <c r="M16" s="58"/>
      <c r="N16" s="58"/>
      <c r="O16" s="58"/>
      <c r="P16" s="58"/>
    </row>
    <row r="17" spans="1:16" ht="24" thickBot="1" x14ac:dyDescent="0.3">
      <c r="A17" s="58"/>
      <c r="B17" s="7"/>
      <c r="C17" s="8"/>
      <c r="D17" s="19"/>
      <c r="E17" s="122"/>
      <c r="F17" s="20" t="str">
        <f>IF(B17="","",(C17-B17)+1)</f>
        <v/>
      </c>
      <c r="G17" s="35" t="str">
        <f>IF(B17="","",(INDEX(Hours,MATCH('Leave Calculator'!E$14,Lists!C$2:C$8,0))+Lists!E6)*(F17/((Lists!$G$2-Lists!$F$2)+1))*(D17/37))</f>
        <v/>
      </c>
      <c r="H17" s="58"/>
      <c r="I17" s="58"/>
      <c r="J17" s="150" t="s">
        <v>55</v>
      </c>
      <c r="K17" s="162"/>
      <c r="L17" s="153"/>
      <c r="M17" s="153"/>
      <c r="N17" s="154"/>
      <c r="O17" s="58"/>
      <c r="P17" s="58"/>
    </row>
    <row r="18" spans="1:16" ht="15.75" thickBot="1" x14ac:dyDescent="0.3">
      <c r="A18" s="58"/>
      <c r="B18" s="58"/>
      <c r="C18" s="58"/>
      <c r="D18" s="58"/>
      <c r="E18" s="58"/>
      <c r="F18" s="68" t="s">
        <v>56</v>
      </c>
      <c r="G18" s="33">
        <f>SUM(G14:G17)</f>
        <v>0</v>
      </c>
      <c r="H18" s="58"/>
      <c r="I18" s="58"/>
      <c r="J18" s="141" t="s">
        <v>57</v>
      </c>
      <c r="K18" s="142"/>
      <c r="L18" s="142"/>
      <c r="M18" s="142"/>
      <c r="N18" s="143"/>
      <c r="O18" s="58"/>
      <c r="P18" s="58"/>
    </row>
    <row r="19" spans="1:16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144"/>
      <c r="K19" s="145"/>
      <c r="L19" s="145"/>
      <c r="M19" s="145"/>
      <c r="N19" s="146"/>
      <c r="O19" s="58"/>
      <c r="P19" s="58"/>
    </row>
    <row r="20" spans="1:16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144"/>
      <c r="K20" s="145"/>
      <c r="L20" s="145"/>
      <c r="M20" s="145"/>
      <c r="N20" s="146"/>
      <c r="O20" s="58"/>
      <c r="P20" s="58"/>
    </row>
    <row r="21" spans="1:16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144"/>
      <c r="K21" s="145"/>
      <c r="L21" s="145"/>
      <c r="M21" s="145"/>
      <c r="N21" s="146"/>
      <c r="O21" s="58"/>
      <c r="P21" s="58"/>
    </row>
    <row r="22" spans="1:16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144"/>
      <c r="K22" s="145"/>
      <c r="L22" s="145"/>
      <c r="M22" s="145"/>
      <c r="N22" s="146"/>
      <c r="O22" s="69"/>
      <c r="P22" s="58"/>
    </row>
    <row r="23" spans="1:16" ht="15.75" thickBot="1" x14ac:dyDescent="0.3">
      <c r="A23" s="58"/>
      <c r="B23" s="58"/>
      <c r="C23" s="58"/>
      <c r="D23" s="58"/>
      <c r="E23" s="58"/>
      <c r="F23" s="58"/>
      <c r="G23" s="58"/>
      <c r="H23" s="58"/>
      <c r="I23" s="58"/>
      <c r="J23" s="147"/>
      <c r="K23" s="148"/>
      <c r="L23" s="148"/>
      <c r="M23" s="148"/>
      <c r="N23" s="149"/>
      <c r="O23" s="69"/>
      <c r="P23" s="58"/>
    </row>
    <row r="24" spans="1:16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69"/>
      <c r="L24" s="69"/>
      <c r="M24" s="69"/>
      <c r="N24" s="69"/>
      <c r="O24" s="69"/>
      <c r="P24" s="58"/>
    </row>
    <row r="25" spans="1:16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69"/>
      <c r="L25" s="69"/>
      <c r="M25" s="69"/>
      <c r="N25" s="69"/>
      <c r="O25" s="69"/>
      <c r="P25" s="58"/>
    </row>
    <row r="26" spans="1:16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69"/>
      <c r="L26" s="69"/>
      <c r="M26" s="69"/>
      <c r="N26" s="69"/>
      <c r="O26" s="69"/>
      <c r="P26" s="58"/>
    </row>
    <row r="27" spans="1:16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69"/>
      <c r="L27" s="69"/>
      <c r="M27" s="69"/>
      <c r="N27" s="69"/>
      <c r="O27" s="69"/>
      <c r="P27" s="58"/>
    </row>
    <row r="28" spans="1:16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</row>
    <row r="29" spans="1:16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x14ac:dyDescent="0.25">
      <c r="A30" s="58"/>
      <c r="B30" s="58"/>
      <c r="C30" s="58"/>
      <c r="D30" s="58"/>
      <c r="E30" s="58"/>
      <c r="F30" s="58"/>
      <c r="G30" s="58"/>
      <c r="H30" s="58"/>
      <c r="I30" s="58"/>
    </row>
  </sheetData>
  <sheetProtection algorithmName="SHA-512" hashValue="opRf2L7qzTVE44PW3bbAzhfMX/TSaWCSb8F/iinBytrOPAPqDWgicXEC/RM4ZxF5nce5kxzBZl5cU2n8zvaMlA==" saltValue="RCKsjM2UUGOVUhwy0hUxpQ==" spinCount="100000" sheet="1" selectLockedCells="1"/>
  <mergeCells count="9">
    <mergeCell ref="J18:N23"/>
    <mergeCell ref="J6:P6"/>
    <mergeCell ref="B11:G11"/>
    <mergeCell ref="J2:M2"/>
    <mergeCell ref="C2:F2"/>
    <mergeCell ref="C5:H5"/>
    <mergeCell ref="J17:N17"/>
    <mergeCell ref="J11:P11"/>
    <mergeCell ref="J12:P15"/>
  </mergeCells>
  <dataValidations count="3">
    <dataValidation type="decimal" allowBlank="1" showInputMessage="1" showErrorMessage="1" sqref="F8" xr:uid="{6E54F854-DD5B-4B51-B531-E0E731A01D1A}">
      <formula1>0</formula1>
      <formula2>37</formula2>
    </dataValidation>
    <dataValidation type="list" showInputMessage="1" showErrorMessage="1" promptTitle="Select Leave Type required" sqref="C8" xr:uid="{E174D80F-1BB2-4F22-ADDA-515255EFE767}">
      <formula1>Full_Time</formula1>
    </dataValidation>
    <dataValidation type="list" allowBlank="1" showInputMessage="1" showErrorMessage="1" sqref="K4" xr:uid="{1E99734E-BD2B-41DA-B0F4-930FC5B812BF}">
      <formula1>Decimal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promptTitle="Select Number of days" xr:uid="{EE660082-4AB5-4A41-99C2-D89B039AD942}">
          <x14:formula1>
            <xm:f>Lists!$C$2:$C$8</xm:f>
          </x14:formula1>
          <xm:sqref>D8 E14:F14</xm:sqref>
        </x14:dataValidation>
        <x14:dataValidation type="list" allowBlank="1" showInputMessage="1" showErrorMessage="1" xr:uid="{F6645AB6-9F20-4379-B7A8-D9760EB20825}">
          <x14:formula1>
            <xm:f>Lists!$A$5:$A$6</xm:f>
          </x14:formula1>
          <xm:sqref>K8</xm:sqref>
        </x14:dataValidation>
        <x14:dataValidation type="list" allowBlank="1" showInputMessage="1" showErrorMessage="1" xr:uid="{24B86C06-E9F8-4F96-8A29-22B3456A0EFD}">
          <x14:formula1>
            <xm:f>Decimal!$A$2:$A$61</xm:f>
          </x14:formula1>
          <xm:sqref>K3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0422-F114-4317-9C4D-95213B2DB1B9}">
  <dimension ref="A1:E28"/>
  <sheetViews>
    <sheetView workbookViewId="0">
      <selection activeCell="F13" sqref="F13"/>
    </sheetView>
  </sheetViews>
  <sheetFormatPr defaultRowHeight="15" x14ac:dyDescent="0.25"/>
  <cols>
    <col min="1" max="1" width="16" customWidth="1"/>
    <col min="2" max="2" width="42" customWidth="1"/>
    <col min="3" max="3" width="43.42578125" customWidth="1"/>
    <col min="4" max="4" width="7.140625" customWidth="1"/>
    <col min="5" max="5" width="26.42578125" customWidth="1"/>
  </cols>
  <sheetData>
    <row r="1" spans="1:5" x14ac:dyDescent="0.25">
      <c r="A1" s="125"/>
      <c r="B1" s="125"/>
      <c r="C1" s="125"/>
      <c r="D1" s="125"/>
      <c r="E1" s="125"/>
    </row>
    <row r="2" spans="1:5" ht="28.5" customHeight="1" x14ac:dyDescent="0.25">
      <c r="A2" s="125"/>
      <c r="B2" s="174" t="s">
        <v>58</v>
      </c>
      <c r="C2" s="175"/>
      <c r="D2" s="125"/>
      <c r="E2" s="138"/>
    </row>
    <row r="3" spans="1:5" ht="14.25" customHeight="1" x14ac:dyDescent="0.25">
      <c r="A3" s="125"/>
      <c r="B3" s="176" t="s">
        <v>59</v>
      </c>
      <c r="C3" s="177"/>
      <c r="D3" s="125"/>
      <c r="E3" s="138"/>
    </row>
    <row r="4" spans="1:5" ht="15.75" thickBot="1" x14ac:dyDescent="0.3">
      <c r="A4" s="125"/>
      <c r="B4" s="125"/>
      <c r="C4" s="125"/>
      <c r="D4" s="125"/>
      <c r="E4" s="125"/>
    </row>
    <row r="5" spans="1:5" ht="20.100000000000001" customHeight="1" thickBot="1" x14ac:dyDescent="0.3">
      <c r="A5" s="125"/>
      <c r="B5" s="124" t="s">
        <v>60</v>
      </c>
      <c r="C5" s="136"/>
      <c r="D5" s="133"/>
      <c r="E5" s="133" t="s">
        <v>61</v>
      </c>
    </row>
    <row r="6" spans="1:5" ht="9.9499999999999993" customHeight="1" thickBot="1" x14ac:dyDescent="0.3">
      <c r="A6" s="125"/>
      <c r="B6" s="126"/>
      <c r="C6" s="129"/>
      <c r="D6" s="125"/>
      <c r="E6" s="125"/>
    </row>
    <row r="7" spans="1:5" ht="20.100000000000001" customHeight="1" thickBot="1" x14ac:dyDescent="0.3">
      <c r="A7" s="125"/>
      <c r="B7" s="124" t="s">
        <v>62</v>
      </c>
      <c r="C7" s="137"/>
      <c r="D7" s="133"/>
      <c r="E7" s="133" t="s">
        <v>61</v>
      </c>
    </row>
    <row r="8" spans="1:5" ht="9.9499999999999993" customHeight="1" thickBot="1" x14ac:dyDescent="0.3">
      <c r="A8" s="125"/>
      <c r="B8" s="125"/>
      <c r="C8" s="130"/>
      <c r="D8" s="125"/>
      <c r="E8" s="125"/>
    </row>
    <row r="9" spans="1:5" ht="20.100000000000001" customHeight="1" thickBot="1" x14ac:dyDescent="0.3">
      <c r="A9" s="125"/>
      <c r="B9" s="124" t="s">
        <v>63</v>
      </c>
      <c r="C9" s="128"/>
      <c r="D9" s="133"/>
      <c r="E9" s="133" t="s">
        <v>64</v>
      </c>
    </row>
    <row r="10" spans="1:5" ht="9.9499999999999993" customHeight="1" thickBot="1" x14ac:dyDescent="0.3">
      <c r="A10" s="125"/>
      <c r="B10" s="126"/>
      <c r="C10" s="130"/>
      <c r="D10" s="125"/>
      <c r="E10" s="125"/>
    </row>
    <row r="11" spans="1:5" ht="20.100000000000001" customHeight="1" thickBot="1" x14ac:dyDescent="0.3">
      <c r="A11" s="125"/>
      <c r="B11" s="124" t="s">
        <v>65</v>
      </c>
      <c r="C11" s="131"/>
      <c r="D11" s="125"/>
      <c r="E11" s="125"/>
    </row>
    <row r="12" spans="1:5" ht="9.9499999999999993" customHeight="1" thickBot="1" x14ac:dyDescent="0.3">
      <c r="A12" s="125"/>
      <c r="B12" s="126"/>
      <c r="C12" s="130"/>
      <c r="D12" s="125"/>
      <c r="E12" s="125"/>
    </row>
    <row r="13" spans="1:5" ht="20.100000000000001" customHeight="1" thickBot="1" x14ac:dyDescent="0.3">
      <c r="A13" s="125"/>
      <c r="B13" s="124" t="s">
        <v>66</v>
      </c>
      <c r="C13" s="132"/>
      <c r="D13" s="125"/>
      <c r="E13" s="135" t="s">
        <v>67</v>
      </c>
    </row>
    <row r="14" spans="1:5" ht="9.9499999999999993" customHeight="1" thickBot="1" x14ac:dyDescent="0.3">
      <c r="A14" s="125"/>
      <c r="B14" s="126"/>
      <c r="C14" s="130"/>
      <c r="D14" s="125"/>
      <c r="E14" s="125"/>
    </row>
    <row r="15" spans="1:5" ht="20.100000000000001" customHeight="1" thickBot="1" x14ac:dyDescent="0.3">
      <c r="A15" s="125"/>
      <c r="B15" s="124" t="s">
        <v>68</v>
      </c>
      <c r="C15" s="132"/>
      <c r="D15" s="125"/>
      <c r="E15" s="135" t="s">
        <v>67</v>
      </c>
    </row>
    <row r="16" spans="1:5" ht="15" customHeight="1" thickBot="1" x14ac:dyDescent="0.3">
      <c r="A16" s="125"/>
      <c r="B16" s="126"/>
      <c r="C16" s="130"/>
      <c r="D16" s="125"/>
      <c r="E16" s="125"/>
    </row>
    <row r="17" spans="1:5" ht="20.100000000000001" customHeight="1" thickBot="1" x14ac:dyDescent="0.3">
      <c r="A17" s="125"/>
      <c r="B17" s="124" t="s">
        <v>69</v>
      </c>
      <c r="C17" s="128"/>
      <c r="D17" s="133"/>
      <c r="E17" s="133" t="s">
        <v>64</v>
      </c>
    </row>
    <row r="18" spans="1:5" ht="9.9499999999999993" customHeight="1" thickBot="1" x14ac:dyDescent="0.3">
      <c r="A18" s="125"/>
      <c r="B18" s="126"/>
      <c r="C18" s="130"/>
      <c r="D18" s="125"/>
      <c r="E18" s="125"/>
    </row>
    <row r="19" spans="1:5" ht="20.100000000000001" customHeight="1" thickBot="1" x14ac:dyDescent="0.3">
      <c r="A19" s="125"/>
      <c r="B19" s="124" t="s">
        <v>70</v>
      </c>
      <c r="C19" s="140">
        <f>(Lists!C18/37)*'Abatement V2'!C11</f>
        <v>0</v>
      </c>
      <c r="D19" s="125"/>
      <c r="E19" s="125"/>
    </row>
    <row r="20" spans="1:5" ht="9.9499999999999993" customHeight="1" thickBot="1" x14ac:dyDescent="0.3">
      <c r="A20" s="125"/>
      <c r="B20" s="126"/>
      <c r="C20" s="130"/>
      <c r="D20" s="125"/>
      <c r="E20" s="125"/>
    </row>
    <row r="21" spans="1:5" ht="20.100000000000001" customHeight="1" thickBot="1" x14ac:dyDescent="0.3">
      <c r="A21" s="125"/>
      <c r="B21" s="124" t="s">
        <v>71</v>
      </c>
      <c r="C21" s="140" t="str">
        <f>IF(C9="Full Time",COUNTIFS(Lists!B21:B28,"&lt;="&amp;C13)+COUNTIFS(Lists!B21:B28,"&gt;="&amp;C15),"N/A")</f>
        <v>N/A</v>
      </c>
      <c r="D21" s="125"/>
      <c r="E21" s="125"/>
    </row>
    <row r="22" spans="1:5" ht="9.9499999999999993" customHeight="1" thickBot="1" x14ac:dyDescent="0.3">
      <c r="A22" s="125"/>
      <c r="B22" s="126"/>
      <c r="C22" s="130"/>
      <c r="D22" s="125"/>
      <c r="E22" s="125"/>
    </row>
    <row r="23" spans="1:5" ht="20.100000000000001" customHeight="1" thickBot="1" x14ac:dyDescent="0.3">
      <c r="A23" s="125"/>
      <c r="B23" s="124" t="s">
        <v>72</v>
      </c>
      <c r="C23" s="140" t="e">
        <f>C19-(C21*7.4)</f>
        <v>#VALUE!</v>
      </c>
      <c r="D23" s="125"/>
      <c r="E23" s="125"/>
    </row>
    <row r="24" spans="1:5" x14ac:dyDescent="0.25">
      <c r="A24" s="125"/>
      <c r="B24" s="125"/>
      <c r="C24" s="125"/>
      <c r="D24" s="125"/>
      <c r="E24" s="125"/>
    </row>
    <row r="25" spans="1:5" x14ac:dyDescent="0.25">
      <c r="A25" s="125"/>
      <c r="B25" s="125"/>
      <c r="C25" s="125"/>
      <c r="D25" s="125"/>
      <c r="E25" s="125"/>
    </row>
    <row r="26" spans="1:5" x14ac:dyDescent="0.25">
      <c r="A26" s="125"/>
      <c r="B26" s="125"/>
      <c r="C26" s="125"/>
      <c r="D26" s="125"/>
      <c r="E26" s="125"/>
    </row>
    <row r="27" spans="1:5" x14ac:dyDescent="0.25">
      <c r="A27" s="125"/>
      <c r="B27" s="125"/>
      <c r="C27" s="125"/>
      <c r="D27" s="125"/>
      <c r="E27" s="125"/>
    </row>
    <row r="28" spans="1:5" x14ac:dyDescent="0.25">
      <c r="A28" s="125"/>
      <c r="B28" s="125"/>
      <c r="C28" s="125"/>
      <c r="D28" s="125"/>
      <c r="E28" s="125"/>
    </row>
  </sheetData>
  <sheetProtection algorithmName="SHA-512" hashValue="pFDOINXom15bLZotp9Xao5WwBb3E0J6ySXgmZkgXobY0cPuVrSso7f4BEYRn31BrmYXuHeXrkGC5mEEKhHQg3Q==" saltValue="UpMkAyjlbslJPDq+55fmGA==" spinCount="100000" sheet="1" objects="1" scenarios="1"/>
  <mergeCells count="2">
    <mergeCell ref="B2:C2"/>
    <mergeCell ref="B3:C3"/>
  </mergeCells>
  <dataValidations count="2">
    <dataValidation type="list" allowBlank="1" showInputMessage="1" showErrorMessage="1" sqref="C9" xr:uid="{9373EE0C-CBB9-4B85-A9CD-EF26DE1488C6}">
      <formula1>ABLETYPE</formula1>
    </dataValidation>
    <dataValidation type="list" allowBlank="1" showInputMessage="1" showErrorMessage="1" sqref="C17" xr:uid="{B3FBEA10-E73C-4B37-A325-9F7B49ADFF2F}">
      <formula1>ABLEYE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A12A-127D-40F4-9F0E-D49CF9D48DEF}">
  <sheetPr codeName="Sheet2">
    <tabColor theme="9" tint="0.39997558519241921"/>
  </sheetPr>
  <dimension ref="A1:H13"/>
  <sheetViews>
    <sheetView workbookViewId="0">
      <selection activeCell="D13" sqref="D13"/>
    </sheetView>
  </sheetViews>
  <sheetFormatPr defaultColWidth="9.140625" defaultRowHeight="15" x14ac:dyDescent="0.25"/>
  <cols>
    <col min="1" max="1" width="9.140625" style="62"/>
    <col min="2" max="2" width="16.42578125" style="62" customWidth="1"/>
    <col min="3" max="3" width="25.42578125" style="62" customWidth="1"/>
    <col min="4" max="4" width="19" style="62" customWidth="1"/>
    <col min="5" max="5" width="29.28515625" style="62" bestFit="1" customWidth="1"/>
    <col min="6" max="6" width="22.5703125" style="62" customWidth="1"/>
    <col min="7" max="7" width="9.140625" style="62"/>
    <col min="8" max="8" width="90.5703125" style="62" customWidth="1"/>
    <col min="9" max="16384" width="9.140625" style="62"/>
  </cols>
  <sheetData>
    <row r="1" spans="1:8" ht="15.75" thickBot="1" x14ac:dyDescent="0.3">
      <c r="A1" s="72"/>
      <c r="B1" s="180" t="s">
        <v>73</v>
      </c>
      <c r="C1" s="73" t="s">
        <v>31</v>
      </c>
      <c r="D1" s="74"/>
      <c r="E1" s="87" t="s">
        <v>74</v>
      </c>
      <c r="F1" s="74"/>
      <c r="G1" s="72"/>
      <c r="H1" s="72"/>
    </row>
    <row r="2" spans="1:8" ht="61.5" customHeight="1" thickBot="1" x14ac:dyDescent="0.3">
      <c r="A2" s="72"/>
      <c r="B2" s="181"/>
      <c r="C2" s="75" t="s">
        <v>75</v>
      </c>
      <c r="D2" s="74"/>
      <c r="E2" s="74"/>
      <c r="F2" s="74"/>
      <c r="G2" s="72"/>
      <c r="H2" s="72"/>
    </row>
    <row r="3" spans="1:8" ht="9" customHeight="1" thickBot="1" x14ac:dyDescent="0.3">
      <c r="A3" s="72"/>
      <c r="B3" s="74"/>
      <c r="C3" s="74"/>
      <c r="D3" s="74"/>
      <c r="E3" s="74"/>
      <c r="F3" s="74"/>
      <c r="G3" s="72"/>
      <c r="H3" s="72"/>
    </row>
    <row r="4" spans="1:8" x14ac:dyDescent="0.25">
      <c r="A4" s="74"/>
      <c r="B4" s="76"/>
      <c r="C4" s="77" t="s">
        <v>0</v>
      </c>
      <c r="D4" s="78" t="s">
        <v>37</v>
      </c>
      <c r="E4" s="79" t="s">
        <v>48</v>
      </c>
      <c r="F4" s="74"/>
      <c r="G4" s="72"/>
      <c r="H4" s="72"/>
    </row>
    <row r="5" spans="1:8" ht="63.75" customHeight="1" thickBot="1" x14ac:dyDescent="0.3">
      <c r="A5" s="74"/>
      <c r="B5" s="80" t="s">
        <v>76</v>
      </c>
      <c r="C5" s="81" t="s">
        <v>77</v>
      </c>
      <c r="D5" s="82" t="s">
        <v>78</v>
      </c>
      <c r="E5" s="83" t="s">
        <v>79</v>
      </c>
      <c r="F5" s="74"/>
      <c r="G5" s="72"/>
      <c r="H5" s="72"/>
    </row>
    <row r="6" spans="1:8" ht="7.5" customHeight="1" thickBot="1" x14ac:dyDescent="0.3">
      <c r="A6" s="72"/>
      <c r="B6" s="74"/>
      <c r="C6" s="74"/>
      <c r="D6" s="74"/>
      <c r="E6" s="74"/>
      <c r="F6" s="74"/>
      <c r="G6" s="72"/>
      <c r="H6" s="72"/>
    </row>
    <row r="7" spans="1:8" x14ac:dyDescent="0.25">
      <c r="A7" s="72"/>
      <c r="B7" s="178" t="s">
        <v>35</v>
      </c>
      <c r="C7" s="77" t="s">
        <v>38</v>
      </c>
      <c r="D7" s="79" t="s">
        <v>80</v>
      </c>
      <c r="E7" s="74"/>
      <c r="F7" s="74"/>
      <c r="G7" s="72"/>
      <c r="H7" s="72"/>
    </row>
    <row r="8" spans="1:8" ht="30" customHeight="1" thickBot="1" x14ac:dyDescent="0.3">
      <c r="A8" s="72"/>
      <c r="B8" s="179"/>
      <c r="C8" s="81" t="s">
        <v>81</v>
      </c>
      <c r="D8" s="83" t="s">
        <v>82</v>
      </c>
      <c r="E8" s="74"/>
      <c r="F8" s="74"/>
      <c r="G8" s="72"/>
      <c r="H8" s="72"/>
    </row>
    <row r="9" spans="1:8" ht="9" customHeight="1" thickBot="1" x14ac:dyDescent="0.3">
      <c r="A9" s="72"/>
      <c r="B9" s="74"/>
      <c r="C9" s="74"/>
      <c r="D9" s="74"/>
      <c r="E9" s="74"/>
      <c r="F9" s="74"/>
      <c r="G9" s="72"/>
      <c r="H9" s="72"/>
    </row>
    <row r="10" spans="1:8" ht="30" x14ac:dyDescent="0.25">
      <c r="A10" s="72"/>
      <c r="B10" s="178" t="s">
        <v>19</v>
      </c>
      <c r="C10" s="84" t="s">
        <v>46</v>
      </c>
      <c r="D10" s="85" t="s">
        <v>47</v>
      </c>
      <c r="E10" s="85" t="s">
        <v>48</v>
      </c>
      <c r="F10" s="86" t="s">
        <v>37</v>
      </c>
      <c r="G10" s="72"/>
      <c r="H10" s="72"/>
    </row>
    <row r="11" spans="1:8" ht="42.75" customHeight="1" thickBot="1" x14ac:dyDescent="0.3">
      <c r="A11" s="72"/>
      <c r="B11" s="179"/>
      <c r="C11" s="81" t="s">
        <v>83</v>
      </c>
      <c r="D11" s="82" t="s">
        <v>84</v>
      </c>
      <c r="E11" s="82" t="s">
        <v>85</v>
      </c>
      <c r="F11" s="83" t="s">
        <v>86</v>
      </c>
      <c r="G11" s="72"/>
      <c r="H11" s="72"/>
    </row>
    <row r="12" spans="1:8" ht="9.75" customHeight="1" x14ac:dyDescent="0.25">
      <c r="A12" s="72"/>
      <c r="B12" s="72"/>
      <c r="C12" s="72"/>
      <c r="D12" s="72"/>
      <c r="E12" s="72"/>
      <c r="F12" s="72"/>
      <c r="G12" s="72"/>
      <c r="H12" s="72"/>
    </row>
    <row r="13" spans="1:8" ht="113.25" customHeight="1" x14ac:dyDescent="0.25">
      <c r="A13" s="72"/>
      <c r="B13" s="72"/>
      <c r="C13" s="72"/>
      <c r="D13" s="72"/>
      <c r="E13" s="72"/>
      <c r="F13" s="72"/>
      <c r="G13" s="72"/>
      <c r="H13" s="72"/>
    </row>
  </sheetData>
  <sheetProtection algorithmName="SHA-512" hashValue="FoOprYkFMsbCDQNJHNQrZoS+dlNiadXj4Z1lJLypbG03nBnZ8DfrwLX1kyk301Gx2j9IBxDCyn2lghDf8fkwjg==" saltValue="cPbeJTyZr5zThm4b1d40RA==" spinCount="100000" sheet="1" objects="1" scenarios="1"/>
  <mergeCells count="3">
    <mergeCell ref="B10:B11"/>
    <mergeCell ref="B7:B8"/>
    <mergeCell ref="B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700D2-9CEE-4D47-B67F-442488CCA4DB}">
  <dimension ref="A1:E20"/>
  <sheetViews>
    <sheetView workbookViewId="0">
      <selection sqref="A1:A2"/>
    </sheetView>
  </sheetViews>
  <sheetFormatPr defaultRowHeight="15" x14ac:dyDescent="0.25"/>
  <cols>
    <col min="1" max="1" width="27" customWidth="1"/>
    <col min="2" max="2" width="13.28515625" customWidth="1"/>
    <col min="3" max="3" width="31.42578125" customWidth="1"/>
    <col min="4" max="5" width="140.85546875" style="15" customWidth="1"/>
    <col min="6" max="10" width="140.85546875" customWidth="1"/>
  </cols>
  <sheetData>
    <row r="1" spans="1:3" ht="30" x14ac:dyDescent="0.25">
      <c r="A1" s="182" t="s">
        <v>87</v>
      </c>
      <c r="B1" s="184" t="s">
        <v>88</v>
      </c>
      <c r="C1" s="48" t="s">
        <v>89</v>
      </c>
    </row>
    <row r="2" spans="1:3" ht="42.75" customHeight="1" x14ac:dyDescent="0.25">
      <c r="A2" s="183"/>
      <c r="B2" s="185"/>
      <c r="C2" s="49" t="s">
        <v>90</v>
      </c>
    </row>
    <row r="3" spans="1:3" x14ac:dyDescent="0.25">
      <c r="A3" s="50">
        <v>0</v>
      </c>
      <c r="B3" s="44">
        <v>27</v>
      </c>
      <c r="C3" s="45">
        <v>199.8</v>
      </c>
    </row>
    <row r="4" spans="1:3" x14ac:dyDescent="0.25">
      <c r="A4" s="50">
        <v>1</v>
      </c>
      <c r="B4" s="44">
        <v>28</v>
      </c>
      <c r="C4" s="45">
        <v>207.2</v>
      </c>
    </row>
    <row r="5" spans="1:3" x14ac:dyDescent="0.25">
      <c r="A5" s="50">
        <v>2</v>
      </c>
      <c r="B5" s="44">
        <v>29</v>
      </c>
      <c r="C5" s="45">
        <v>214.6</v>
      </c>
    </row>
    <row r="6" spans="1:3" x14ac:dyDescent="0.25">
      <c r="A6" s="50">
        <v>3</v>
      </c>
      <c r="B6" s="44">
        <v>30</v>
      </c>
      <c r="C6" s="45">
        <v>222</v>
      </c>
    </row>
    <row r="7" spans="1:3" x14ac:dyDescent="0.25">
      <c r="A7" s="50">
        <v>4</v>
      </c>
      <c r="B7" s="44">
        <v>31</v>
      </c>
      <c r="C7" s="45">
        <v>229.4</v>
      </c>
    </row>
    <row r="8" spans="1:3" x14ac:dyDescent="0.25">
      <c r="A8" s="50">
        <v>5</v>
      </c>
      <c r="B8" s="44">
        <v>32</v>
      </c>
      <c r="C8" s="45">
        <v>236.8</v>
      </c>
    </row>
    <row r="9" spans="1:3" ht="15.75" thickBot="1" x14ac:dyDescent="0.3">
      <c r="A9" s="51">
        <v>10</v>
      </c>
      <c r="B9" s="46">
        <v>34</v>
      </c>
      <c r="C9" s="47">
        <v>251.6</v>
      </c>
    </row>
    <row r="10" spans="1:3" s="15" customFormat="1" ht="204.75" customHeight="1" x14ac:dyDescent="0.25"/>
    <row r="11" spans="1:3" s="15" customFormat="1" x14ac:dyDescent="0.25"/>
    <row r="12" spans="1:3" s="15" customFormat="1" x14ac:dyDescent="0.25"/>
    <row r="13" spans="1:3" s="15" customFormat="1" x14ac:dyDescent="0.25"/>
    <row r="14" spans="1:3" s="15" customFormat="1" x14ac:dyDescent="0.25"/>
    <row r="15" spans="1:3" s="15" customFormat="1" x14ac:dyDescent="0.25"/>
    <row r="16" spans="1:3" s="15" customFormat="1" x14ac:dyDescent="0.25"/>
    <row r="17" s="15" customFormat="1" x14ac:dyDescent="0.25"/>
    <row r="18" s="15" customFormat="1" x14ac:dyDescent="0.25"/>
    <row r="19" s="15" customFormat="1" x14ac:dyDescent="0.25"/>
    <row r="20" s="15" customFormat="1" x14ac:dyDescent="0.25"/>
  </sheetData>
  <sheetProtection algorithmName="SHA-512" hashValue="zZyZaL7CTzM2H4PnUFMtQjg5w117LLlorR+U9e1PgW9qv43TPMwXdvDpMDDjLTvbBrC1GU+Yx+rYaAz7wbNHBQ==" saltValue="SWP4ZMhnExElMWM2I6tuRA==" spinCount="100000" sheet="1" objects="1" scenarios="1"/>
  <mergeCells count="2">
    <mergeCell ref="A1:A2"/>
    <mergeCell ref="B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136A-BE87-40F8-8106-3DA95F1683C2}">
  <sheetPr codeName="Sheet3"/>
  <dimension ref="A1:B61"/>
  <sheetViews>
    <sheetView topLeftCell="A35" workbookViewId="0">
      <selection activeCell="D56" sqref="D56"/>
    </sheetView>
  </sheetViews>
  <sheetFormatPr defaultRowHeight="15" x14ac:dyDescent="0.25"/>
  <cols>
    <col min="1" max="2" width="15.7109375" style="29" customWidth="1"/>
  </cols>
  <sheetData>
    <row r="1" spans="1:2" s="22" customFormat="1" ht="15.75" thickBot="1" x14ac:dyDescent="0.3">
      <c r="A1" s="23" t="s">
        <v>31</v>
      </c>
      <c r="B1" s="24" t="s">
        <v>91</v>
      </c>
    </row>
    <row r="2" spans="1:2" s="22" customFormat="1" x14ac:dyDescent="0.25">
      <c r="A2" s="25">
        <v>1</v>
      </c>
      <c r="B2" s="26">
        <v>1.6666666666666666E-2</v>
      </c>
    </row>
    <row r="3" spans="1:2" s="22" customFormat="1" x14ac:dyDescent="0.25">
      <c r="A3" s="27">
        <v>2</v>
      </c>
      <c r="B3" s="28">
        <v>3.3333333333333333E-2</v>
      </c>
    </row>
    <row r="4" spans="1:2" s="22" customFormat="1" x14ac:dyDescent="0.25">
      <c r="A4" s="27">
        <v>3</v>
      </c>
      <c r="B4" s="28">
        <v>0.05</v>
      </c>
    </row>
    <row r="5" spans="1:2" s="22" customFormat="1" x14ac:dyDescent="0.25">
      <c r="A5" s="25">
        <v>4</v>
      </c>
      <c r="B5" s="26">
        <v>6.6666666666666693E-2</v>
      </c>
    </row>
    <row r="6" spans="1:2" s="22" customFormat="1" x14ac:dyDescent="0.25">
      <c r="A6" s="27">
        <v>5</v>
      </c>
      <c r="B6" s="28">
        <v>8.3333333333333398E-2</v>
      </c>
    </row>
    <row r="7" spans="1:2" s="22" customFormat="1" x14ac:dyDescent="0.25">
      <c r="A7" s="27">
        <v>6</v>
      </c>
      <c r="B7" s="28">
        <v>0.1</v>
      </c>
    </row>
    <row r="8" spans="1:2" s="22" customFormat="1" x14ac:dyDescent="0.25">
      <c r="A8" s="25">
        <v>7</v>
      </c>
      <c r="B8" s="26">
        <v>0.116666666666667</v>
      </c>
    </row>
    <row r="9" spans="1:2" s="22" customFormat="1" x14ac:dyDescent="0.25">
      <c r="A9" s="27">
        <v>8</v>
      </c>
      <c r="B9" s="28">
        <v>0.133333333333334</v>
      </c>
    </row>
    <row r="10" spans="1:2" s="22" customFormat="1" x14ac:dyDescent="0.25">
      <c r="A10" s="27">
        <v>9</v>
      </c>
      <c r="B10" s="28">
        <v>0.15</v>
      </c>
    </row>
    <row r="11" spans="1:2" s="22" customFormat="1" x14ac:dyDescent="0.25">
      <c r="A11" s="25">
        <v>10</v>
      </c>
      <c r="B11" s="26">
        <v>0.16666666666666699</v>
      </c>
    </row>
    <row r="12" spans="1:2" s="22" customFormat="1" x14ac:dyDescent="0.25">
      <c r="A12" s="27">
        <v>11</v>
      </c>
      <c r="B12" s="28">
        <v>0.18333333333333399</v>
      </c>
    </row>
    <row r="13" spans="1:2" s="22" customFormat="1" x14ac:dyDescent="0.25">
      <c r="A13" s="27">
        <v>12</v>
      </c>
      <c r="B13" s="28">
        <v>0.2</v>
      </c>
    </row>
    <row r="14" spans="1:2" s="22" customFormat="1" x14ac:dyDescent="0.25">
      <c r="A14" s="25">
        <v>13</v>
      </c>
      <c r="B14" s="26">
        <v>0.21666666666666701</v>
      </c>
    </row>
    <row r="15" spans="1:2" s="22" customFormat="1" x14ac:dyDescent="0.25">
      <c r="A15" s="27">
        <v>14</v>
      </c>
      <c r="B15" s="28">
        <v>0.233333333333334</v>
      </c>
    </row>
    <row r="16" spans="1:2" s="22" customFormat="1" x14ac:dyDescent="0.25">
      <c r="A16" s="27">
        <v>15</v>
      </c>
      <c r="B16" s="28">
        <v>0.25</v>
      </c>
    </row>
    <row r="17" spans="1:2" s="22" customFormat="1" x14ac:dyDescent="0.25">
      <c r="A17" s="25">
        <v>16</v>
      </c>
      <c r="B17" s="26">
        <v>0.266666666666667</v>
      </c>
    </row>
    <row r="18" spans="1:2" s="22" customFormat="1" x14ac:dyDescent="0.25">
      <c r="A18" s="27">
        <v>17</v>
      </c>
      <c r="B18" s="28">
        <v>0.28333333333333399</v>
      </c>
    </row>
    <row r="19" spans="1:2" s="22" customFormat="1" x14ac:dyDescent="0.25">
      <c r="A19" s="27">
        <v>18</v>
      </c>
      <c r="B19" s="28">
        <v>0.3</v>
      </c>
    </row>
    <row r="20" spans="1:2" s="22" customFormat="1" x14ac:dyDescent="0.25">
      <c r="A20" s="25">
        <v>19</v>
      </c>
      <c r="B20" s="26">
        <v>0.31666666666666698</v>
      </c>
    </row>
    <row r="21" spans="1:2" s="22" customFormat="1" x14ac:dyDescent="0.25">
      <c r="A21" s="27">
        <v>20</v>
      </c>
      <c r="B21" s="28">
        <v>0.33333333333333398</v>
      </c>
    </row>
    <row r="22" spans="1:2" s="22" customFormat="1" x14ac:dyDescent="0.25">
      <c r="A22" s="27">
        <v>21</v>
      </c>
      <c r="B22" s="28">
        <v>0.35</v>
      </c>
    </row>
    <row r="23" spans="1:2" s="22" customFormat="1" x14ac:dyDescent="0.25">
      <c r="A23" s="25">
        <v>22</v>
      </c>
      <c r="B23" s="26">
        <v>0.36666666666666697</v>
      </c>
    </row>
    <row r="24" spans="1:2" s="22" customFormat="1" x14ac:dyDescent="0.25">
      <c r="A24" s="27">
        <v>23</v>
      </c>
      <c r="B24" s="28">
        <v>0.38333333333333403</v>
      </c>
    </row>
    <row r="25" spans="1:2" s="22" customFormat="1" x14ac:dyDescent="0.25">
      <c r="A25" s="27">
        <v>24</v>
      </c>
      <c r="B25" s="28">
        <v>0.4</v>
      </c>
    </row>
    <row r="26" spans="1:2" s="22" customFormat="1" x14ac:dyDescent="0.25">
      <c r="A26" s="25">
        <v>25</v>
      </c>
      <c r="B26" s="26">
        <v>0.41666666666666702</v>
      </c>
    </row>
    <row r="27" spans="1:2" s="22" customFormat="1" x14ac:dyDescent="0.25">
      <c r="A27" s="27">
        <v>26</v>
      </c>
      <c r="B27" s="28">
        <v>0.43333333333333401</v>
      </c>
    </row>
    <row r="28" spans="1:2" s="22" customFormat="1" x14ac:dyDescent="0.25">
      <c r="A28" s="27">
        <v>27</v>
      </c>
      <c r="B28" s="28">
        <v>0.45</v>
      </c>
    </row>
    <row r="29" spans="1:2" s="22" customFormat="1" x14ac:dyDescent="0.25">
      <c r="A29" s="25">
        <v>28</v>
      </c>
      <c r="B29" s="26">
        <v>0.46666666666666701</v>
      </c>
    </row>
    <row r="30" spans="1:2" s="22" customFormat="1" x14ac:dyDescent="0.25">
      <c r="A30" s="27">
        <v>29</v>
      </c>
      <c r="B30" s="28">
        <v>0.483333333333334</v>
      </c>
    </row>
    <row r="31" spans="1:2" s="22" customFormat="1" x14ac:dyDescent="0.25">
      <c r="A31" s="27">
        <v>30</v>
      </c>
      <c r="B31" s="28">
        <v>0.5</v>
      </c>
    </row>
    <row r="32" spans="1:2" x14ac:dyDescent="0.25">
      <c r="A32" s="25">
        <v>31</v>
      </c>
      <c r="B32" s="26">
        <v>0.51666666666666705</v>
      </c>
    </row>
    <row r="33" spans="1:2" x14ac:dyDescent="0.25">
      <c r="A33" s="27">
        <v>32</v>
      </c>
      <c r="B33" s="28">
        <v>0.53333333333333399</v>
      </c>
    </row>
    <row r="34" spans="1:2" x14ac:dyDescent="0.25">
      <c r="A34" s="27">
        <v>33</v>
      </c>
      <c r="B34" s="28">
        <v>0.55000000000000004</v>
      </c>
    </row>
    <row r="35" spans="1:2" x14ac:dyDescent="0.25">
      <c r="A35" s="25">
        <v>34</v>
      </c>
      <c r="B35" s="26">
        <v>0.56666666666666698</v>
      </c>
    </row>
    <row r="36" spans="1:2" x14ac:dyDescent="0.25">
      <c r="A36" s="27">
        <v>35</v>
      </c>
      <c r="B36" s="28">
        <v>0.58333333333333404</v>
      </c>
    </row>
    <row r="37" spans="1:2" x14ac:dyDescent="0.25">
      <c r="A37" s="27">
        <v>36</v>
      </c>
      <c r="B37" s="28">
        <v>0.6</v>
      </c>
    </row>
    <row r="38" spans="1:2" x14ac:dyDescent="0.25">
      <c r="A38" s="25">
        <v>37</v>
      </c>
      <c r="B38" s="26">
        <v>0.61666666666666703</v>
      </c>
    </row>
    <row r="39" spans="1:2" x14ac:dyDescent="0.25">
      <c r="A39" s="27">
        <v>38</v>
      </c>
      <c r="B39" s="28">
        <v>0.63333333333333397</v>
      </c>
    </row>
    <row r="40" spans="1:2" x14ac:dyDescent="0.25">
      <c r="A40" s="27">
        <v>39</v>
      </c>
      <c r="B40" s="28">
        <v>0.65</v>
      </c>
    </row>
    <row r="41" spans="1:2" x14ac:dyDescent="0.25">
      <c r="A41" s="25">
        <v>40</v>
      </c>
      <c r="B41" s="26">
        <v>0.66666666666666696</v>
      </c>
    </row>
    <row r="42" spans="1:2" x14ac:dyDescent="0.25">
      <c r="A42" s="27">
        <v>41</v>
      </c>
      <c r="B42" s="28">
        <v>0.68333333333333401</v>
      </c>
    </row>
    <row r="43" spans="1:2" x14ac:dyDescent="0.25">
      <c r="A43" s="27">
        <v>42</v>
      </c>
      <c r="B43" s="28">
        <v>0.7</v>
      </c>
    </row>
    <row r="44" spans="1:2" x14ac:dyDescent="0.25">
      <c r="A44" s="25">
        <v>43</v>
      </c>
      <c r="B44" s="26">
        <v>0.71666666666666701</v>
      </c>
    </row>
    <row r="45" spans="1:2" x14ac:dyDescent="0.25">
      <c r="A45" s="27">
        <v>44</v>
      </c>
      <c r="B45" s="28">
        <v>0.73333333333333395</v>
      </c>
    </row>
    <row r="46" spans="1:2" x14ac:dyDescent="0.25">
      <c r="A46" s="27">
        <v>45</v>
      </c>
      <c r="B46" s="28">
        <v>0.75</v>
      </c>
    </row>
    <row r="47" spans="1:2" x14ac:dyDescent="0.25">
      <c r="A47" s="25">
        <v>46</v>
      </c>
      <c r="B47" s="26">
        <v>0.76666666666666705</v>
      </c>
    </row>
    <row r="48" spans="1:2" x14ac:dyDescent="0.25">
      <c r="A48" s="27">
        <v>47</v>
      </c>
      <c r="B48" s="28">
        <v>0.78333333333333399</v>
      </c>
    </row>
    <row r="49" spans="1:2" x14ac:dyDescent="0.25">
      <c r="A49" s="27">
        <v>48</v>
      </c>
      <c r="B49" s="28">
        <v>0.8</v>
      </c>
    </row>
    <row r="50" spans="1:2" x14ac:dyDescent="0.25">
      <c r="A50" s="25">
        <v>49</v>
      </c>
      <c r="B50" s="26">
        <v>0.81666666666666698</v>
      </c>
    </row>
    <row r="51" spans="1:2" x14ac:dyDescent="0.25">
      <c r="A51" s="27">
        <v>50</v>
      </c>
      <c r="B51" s="28">
        <v>0.83333333333333404</v>
      </c>
    </row>
    <row r="52" spans="1:2" x14ac:dyDescent="0.25">
      <c r="A52" s="27">
        <v>51</v>
      </c>
      <c r="B52" s="28">
        <v>0.85</v>
      </c>
    </row>
    <row r="53" spans="1:2" x14ac:dyDescent="0.25">
      <c r="A53" s="25">
        <v>52</v>
      </c>
      <c r="B53" s="26">
        <v>0.86666666666666703</v>
      </c>
    </row>
    <row r="54" spans="1:2" x14ac:dyDescent="0.25">
      <c r="A54" s="27">
        <v>53</v>
      </c>
      <c r="B54" s="28">
        <v>0.88333333333333397</v>
      </c>
    </row>
    <row r="55" spans="1:2" x14ac:dyDescent="0.25">
      <c r="A55" s="27">
        <v>54</v>
      </c>
      <c r="B55" s="28">
        <v>0.9</v>
      </c>
    </row>
    <row r="56" spans="1:2" x14ac:dyDescent="0.25">
      <c r="A56" s="25">
        <v>55</v>
      </c>
      <c r="B56" s="26">
        <v>0.91666666666666696</v>
      </c>
    </row>
    <row r="57" spans="1:2" x14ac:dyDescent="0.25">
      <c r="A57" s="27">
        <v>56</v>
      </c>
      <c r="B57" s="28">
        <v>0.93333333333333401</v>
      </c>
    </row>
    <row r="58" spans="1:2" x14ac:dyDescent="0.25">
      <c r="A58" s="27">
        <v>57</v>
      </c>
      <c r="B58" s="28">
        <v>0.95</v>
      </c>
    </row>
    <row r="59" spans="1:2" x14ac:dyDescent="0.25">
      <c r="A59" s="25">
        <v>58</v>
      </c>
      <c r="B59" s="26">
        <v>0.96666666666666701</v>
      </c>
    </row>
    <row r="60" spans="1:2" x14ac:dyDescent="0.25">
      <c r="A60" s="27">
        <v>59</v>
      </c>
      <c r="B60" s="28">
        <v>0.98333333333333395</v>
      </c>
    </row>
    <row r="61" spans="1:2" x14ac:dyDescent="0.25">
      <c r="A61" s="27">
        <v>60</v>
      </c>
      <c r="B61" s="28">
        <v>1</v>
      </c>
    </row>
  </sheetData>
  <sheetProtection algorithmName="SHA-512" hashValue="C5/4frQPrh3EwA2sTJHjEGYYV+Nn+24AQvf5vFU2uQvk/lV4yfGU4uS6TC7CkrAIAC+IvUdx1pw5J2Sn+l+UbQ==" saltValue="UO6JTvYUHt3gehbprEqfe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4" tint="0.59999389629810485"/>
  </sheetPr>
  <dimension ref="A1:G9"/>
  <sheetViews>
    <sheetView workbookViewId="0">
      <selection activeCell="F4" sqref="F4"/>
    </sheetView>
  </sheetViews>
  <sheetFormatPr defaultRowHeight="15" x14ac:dyDescent="0.25"/>
  <cols>
    <col min="2" max="2" width="14.85546875" customWidth="1"/>
    <col min="3" max="3" width="15.140625" customWidth="1"/>
    <col min="4" max="4" width="19" customWidth="1"/>
    <col min="5" max="5" width="15.28515625" customWidth="1"/>
    <col min="6" max="6" width="14.140625" customWidth="1"/>
    <col min="7" max="7" width="134.140625" customWidth="1"/>
  </cols>
  <sheetData>
    <row r="1" spans="1:7" ht="15.75" thickBot="1" x14ac:dyDescent="0.3">
      <c r="A1" s="36"/>
      <c r="B1" s="36"/>
      <c r="C1" s="36"/>
      <c r="D1" s="36"/>
      <c r="E1" s="36"/>
      <c r="F1" s="36"/>
      <c r="G1" s="36"/>
    </row>
    <row r="2" spans="1:7" ht="24" thickBot="1" x14ac:dyDescent="0.3">
      <c r="A2" s="36"/>
      <c r="B2" s="186" t="s">
        <v>92</v>
      </c>
      <c r="C2" s="187"/>
      <c r="D2" s="187"/>
      <c r="E2" s="187"/>
      <c r="F2" s="188"/>
      <c r="G2" s="36"/>
    </row>
    <row r="3" spans="1:7" ht="31.5" customHeight="1" thickBot="1" x14ac:dyDescent="0.3">
      <c r="A3" s="36"/>
      <c r="B3" s="37" t="s">
        <v>36</v>
      </c>
      <c r="C3" s="38" t="s">
        <v>0</v>
      </c>
      <c r="D3" s="39" t="s">
        <v>93</v>
      </c>
      <c r="E3" s="39" t="str">
        <f>IF(C4="Full-Time","N/A","Decimal Weekly Working Hours")</f>
        <v>Decimal Weekly Working Hours</v>
      </c>
      <c r="F3" s="40" t="s">
        <v>94</v>
      </c>
      <c r="G3" s="36"/>
    </row>
    <row r="4" spans="1:7" ht="15.75" thickBot="1" x14ac:dyDescent="0.3">
      <c r="A4" s="36"/>
      <c r="B4" s="41" t="s">
        <v>42</v>
      </c>
      <c r="C4" s="10" t="s">
        <v>10</v>
      </c>
      <c r="D4" s="42">
        <v>28</v>
      </c>
      <c r="E4" s="11">
        <v>30</v>
      </c>
      <c r="F4" s="43">
        <f>IF(C4="","",IF(C4="Full-Time",Lists!I2,(Lists!I2)/37*E4))</f>
        <v>168</v>
      </c>
      <c r="G4" s="36"/>
    </row>
    <row r="5" spans="1:7" x14ac:dyDescent="0.25">
      <c r="A5" s="36"/>
      <c r="B5" s="36"/>
      <c r="C5" s="36"/>
      <c r="D5" s="36"/>
      <c r="E5" s="36"/>
      <c r="F5" s="36"/>
      <c r="G5" s="36"/>
    </row>
    <row r="6" spans="1:7" x14ac:dyDescent="0.25">
      <c r="A6" s="36"/>
      <c r="B6" s="189"/>
      <c r="C6" s="189"/>
      <c r="D6" s="189"/>
      <c r="E6" s="189"/>
      <c r="F6" s="189"/>
      <c r="G6" s="36"/>
    </row>
    <row r="7" spans="1:7" x14ac:dyDescent="0.25">
      <c r="A7" s="36"/>
      <c r="B7" s="36"/>
      <c r="C7" s="36"/>
      <c r="D7" s="36"/>
      <c r="E7" s="36"/>
      <c r="F7" s="36"/>
      <c r="G7" s="36"/>
    </row>
    <row r="8" spans="1:7" x14ac:dyDescent="0.25">
      <c r="A8" s="36"/>
      <c r="B8" s="36"/>
      <c r="C8" s="36"/>
      <c r="D8" s="36"/>
      <c r="E8" s="36"/>
      <c r="F8" s="36"/>
      <c r="G8" s="36"/>
    </row>
    <row r="9" spans="1:7" ht="273.75" customHeight="1" x14ac:dyDescent="0.25">
      <c r="A9" s="36"/>
      <c r="B9" s="36"/>
      <c r="C9" s="36"/>
      <c r="D9" s="36"/>
      <c r="E9" s="36"/>
      <c r="F9" s="36"/>
      <c r="G9" s="36"/>
    </row>
  </sheetData>
  <mergeCells count="2">
    <mergeCell ref="B2:F2"/>
    <mergeCell ref="B6:F6"/>
  </mergeCells>
  <dataValidations count="1">
    <dataValidation type="decimal" allowBlank="1" showInputMessage="1" showErrorMessage="1" sqref="E4" xr:uid="{50D707CE-7F80-44F1-B820-963394AF48F8}">
      <formula1>0</formula1>
      <formula2>37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Leave Type required" xr:uid="{9F49D95A-7358-46E4-BBE5-FAAD87887C81}">
          <x14:formula1>
            <xm:f>Lists!$A$2:$A$3</xm:f>
          </x14:formula1>
          <xm:sqref>C4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5C2128DA25A44EB11494EFA18A119E" ma:contentTypeVersion="25" ma:contentTypeDescription="Create a new document." ma:contentTypeScope="" ma:versionID="28d87dcc7bc3baf6856f1c48e1f32313">
  <xsd:schema xmlns:xsd="http://www.w3.org/2001/XMLSchema" xmlns:xs="http://www.w3.org/2001/XMLSchema" xmlns:p="http://schemas.microsoft.com/office/2006/metadata/properties" xmlns:ns2="fc78463e-d5b0-4fd8-abb1-e1eb3572d92c" xmlns:ns3="762c3af4-7a9a-4ea7-a9dd-5ca742d82ec7" targetNamespace="http://schemas.microsoft.com/office/2006/metadata/properties" ma:root="true" ma:fieldsID="ec956834d17ba23cd543d3c67b2652e2" ns2:_="" ns3:_="">
    <xsd:import namespace="fc78463e-d5b0-4fd8-abb1-e1eb3572d92c"/>
    <xsd:import namespace="762c3af4-7a9a-4ea7-a9dd-5ca742d82ec7"/>
    <xsd:element name="properties">
      <xsd:complexType>
        <xsd:sequence>
          <xsd:element name="documentManagement">
            <xsd:complexType>
              <xsd:all>
                <xsd:element ref="ns2:Inf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Sourc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Signed" minOccurs="0"/>
                <xsd:element ref="ns2:ReporttoDTIB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8463e-d5b0-4fd8-abb1-e1eb3572d92c" elementFormDefault="qualified">
    <xsd:import namespace="http://schemas.microsoft.com/office/2006/documentManagement/types"/>
    <xsd:import namespace="http://schemas.microsoft.com/office/infopath/2007/PartnerControls"/>
    <xsd:element name="Info" ma:index="8" nillable="true" ma:displayName="Info" ma:format="Dropdown" ma:internalName="Info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ource" ma:index="21" nillable="true" ma:displayName="Source" ma:format="Dropdown" ma:internalName="Source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e83bfe8-052f-4e76-8200-e0f72956c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igned" ma:index="28" nillable="true" ma:displayName="Signed" ma:format="Dropdown" ma:internalName="Signed">
      <xsd:simpleType>
        <xsd:restriction base="dms:Choice">
          <xsd:enumeration value="Yes"/>
          <xsd:enumeration value="No"/>
          <xsd:enumeration value="project started before agreements"/>
          <xsd:enumeration value="project not started"/>
          <xsd:enumeration value="Digital"/>
          <xsd:enumeration value="Cancelled"/>
        </xsd:restriction>
      </xsd:simpleType>
    </xsd:element>
    <xsd:element name="ReporttoDTIB" ma:index="29" nillable="true" ma:displayName="Report to DTIB" ma:format="DateOnly" ma:internalName="ReporttoDTIB">
      <xsd:simpleType>
        <xsd:restriction base="dms:DateTime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c3af4-7a9a-4ea7-a9dd-5ca742d82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b9aa3df-d8af-40ba-91e2-e5ec8e215a7a}" ma:internalName="TaxCatchAll" ma:showField="CatchAllData" ma:web="762c3af4-7a9a-4ea7-a9dd-5ca742d82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 xmlns="fc78463e-d5b0-4fd8-abb1-e1eb3572d92c" xsi:nil="true"/>
    <SharedWithUsers xmlns="762c3af4-7a9a-4ea7-a9dd-5ca742d82ec7">
      <UserInfo>
        <DisplayName/>
        <AccountId xsi:nil="true"/>
        <AccountType/>
      </UserInfo>
    </SharedWithUsers>
    <MediaLengthInSeconds xmlns="fc78463e-d5b0-4fd8-abb1-e1eb3572d92c" xsi:nil="true"/>
    <TaxCatchAll xmlns="762c3af4-7a9a-4ea7-a9dd-5ca742d82ec7" xsi:nil="true"/>
    <ReporttoDTIB xmlns="fc78463e-d5b0-4fd8-abb1-e1eb3572d92c" xsi:nil="true"/>
    <Source xmlns="fc78463e-d5b0-4fd8-abb1-e1eb3572d92c" xsi:nil="true"/>
    <Signed xmlns="fc78463e-d5b0-4fd8-abb1-e1eb3572d92c" xsi:nil="true"/>
    <lcf76f155ced4ddcb4097134ff3c332f xmlns="fc78463e-d5b0-4fd8-abb1-e1eb3572d92c">
      <Terms xmlns="http://schemas.microsoft.com/office/infopath/2007/PartnerControls"/>
    </lcf76f155ced4ddcb4097134ff3c332f>
    <_Flow_SignoffStatus xmlns="fc78463e-d5b0-4fd8-abb1-e1eb3572d92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1AFD8-226D-4648-9972-74CA5EB77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8463e-d5b0-4fd8-abb1-e1eb3572d92c"/>
    <ds:schemaRef ds:uri="762c3af4-7a9a-4ea7-a9dd-5ca742d82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CF9B1-2557-478D-A35C-7CE0265C46AF}">
  <ds:schemaRefs>
    <ds:schemaRef ds:uri="http://schemas.microsoft.com/office/2006/metadata/properties"/>
    <ds:schemaRef ds:uri="http://schemas.microsoft.com/office/infopath/2007/PartnerControls"/>
    <ds:schemaRef ds:uri="fc78463e-d5b0-4fd8-abb1-e1eb3572d92c"/>
    <ds:schemaRef ds:uri="762c3af4-7a9a-4ea7-a9dd-5ca742d82ec7"/>
  </ds:schemaRefs>
</ds:datastoreItem>
</file>

<file path=customXml/itemProps3.xml><?xml version="1.0" encoding="utf-8"?>
<ds:datastoreItem xmlns:ds="http://schemas.openxmlformats.org/officeDocument/2006/customXml" ds:itemID="{0634C0FC-B0C2-4C96-8FB0-471B50C855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Lists</vt:lpstr>
      <vt:lpstr>Leave Calculator</vt:lpstr>
      <vt:lpstr>Abatement V2</vt:lpstr>
      <vt:lpstr>Guidance</vt:lpstr>
      <vt:lpstr>Annual Leave Entitlement</vt:lpstr>
      <vt:lpstr>Decimal</vt:lpstr>
      <vt:lpstr>Abatement</vt:lpstr>
      <vt:lpstr>ABLETYPE</vt:lpstr>
      <vt:lpstr>ABLEYE</vt:lpstr>
      <vt:lpstr>Decimal</vt:lpstr>
      <vt:lpstr>Full_Time</vt:lpstr>
      <vt:lpstr>Hours</vt:lpstr>
      <vt:lpstr>LeaveType</vt:lpstr>
      <vt:lpstr>'Abatement V2'!Print_Area</vt:lpstr>
    </vt:vector>
  </TitlesOfParts>
  <Manager/>
  <Company>Falkirk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lisamartin</dc:creator>
  <cp:keywords/>
  <dc:description/>
  <cp:lastModifiedBy>Mike Storrar</cp:lastModifiedBy>
  <cp:revision/>
  <dcterms:created xsi:type="dcterms:W3CDTF">2017-06-12T09:14:32Z</dcterms:created>
  <dcterms:modified xsi:type="dcterms:W3CDTF">2025-12-04T15:31:45Z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0x010100E25C2128DA25A44EB11494EFA18A119E</vt:lpwstr>
  </property>
  <property fmtid="{D5CDD505-2E9C-101B-9397-08002B2CF9AE}" pid="3" name="Order">
    <vt:r8>2469800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